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65" activeTab="0"/>
  </bookViews>
  <sheets>
    <sheet name="Работы" sheetId="1" r:id="rId1"/>
    <sheet name="Ресурсы" sheetId="2" r:id="rId2"/>
  </sheets>
  <definedNames>
    <definedName name="_xlnm.Print_Titles" localSheetId="0">'Работы'!$3:$3</definedName>
    <definedName name="_xlnm.Print_Titles" localSheetId="1">'Ресурсы'!$3:$3</definedName>
  </definedNames>
  <calcPr fullCalcOnLoad="1" refMode="R1C1"/>
</workbook>
</file>

<file path=xl/sharedStrings.xml><?xml version="1.0" encoding="utf-8"?>
<sst xmlns="http://schemas.openxmlformats.org/spreadsheetml/2006/main" count="271" uniqueCount="198">
  <si>
    <t>Смета расходов. Список работ</t>
  </si>
  <si>
    <t>№пп</t>
  </si>
  <si>
    <t>Работа</t>
  </si>
  <si>
    <t>Измеритель</t>
  </si>
  <si>
    <t>Кол-во ед. изм.</t>
  </si>
  <si>
    <t>Перио- дичность в год</t>
  </si>
  <si>
    <t>Труд. ресурсы, руб.</t>
  </si>
  <si>
    <t>Матер. ресурсы, руб.</t>
  </si>
  <si>
    <t>Маш. мех., руб.</t>
  </si>
  <si>
    <t>Накл. расходы, руб.</t>
  </si>
  <si>
    <t>Расходы на управ., руб.</t>
  </si>
  <si>
    <t>Стоимость, руб.</t>
  </si>
  <si>
    <t>Стоимость на кв.м. в мес., руб.</t>
  </si>
  <si>
    <t>Общ. площ.,кв.м.</t>
  </si>
  <si>
    <t>Внутридомовое инженерное оборудование и технические устройства</t>
  </si>
  <si>
    <t>Утепление и прочистка дымовентиляционных каналов</t>
  </si>
  <si>
    <t>1000 кв.м. общей площади</t>
  </si>
  <si>
    <t>Осмотр территории вокруг здания и фундамента</t>
  </si>
  <si>
    <t>Осмотр деревянных стен, перегородок</t>
  </si>
  <si>
    <t>Осмотр деревянных перекрытий</t>
  </si>
  <si>
    <t>Осмотр деревянных покрытий, полов</t>
  </si>
  <si>
    <t>1000 кв.м. полов</t>
  </si>
  <si>
    <t>Осмотр внутренней отделки стен</t>
  </si>
  <si>
    <t>1000 кв.м. кровли</t>
  </si>
  <si>
    <t>100 квартир</t>
  </si>
  <si>
    <t>100 куб.м. здания</t>
  </si>
  <si>
    <t>Прочистка канализационного лежака</t>
  </si>
  <si>
    <t>100 м канализационного лежака</t>
  </si>
  <si>
    <t>Проверка исправности  канализационных  вытяжек</t>
  </si>
  <si>
    <t>Осмотр  электросети, арматуры, электрооборудования на лестничных клетках</t>
  </si>
  <si>
    <t>100 лестничных площадок</t>
  </si>
  <si>
    <t>Проверка изоляции электропроводки и ее укрепление</t>
  </si>
  <si>
    <t>100 м</t>
  </si>
  <si>
    <t>Замеры сопротивления изоляции проводов</t>
  </si>
  <si>
    <t xml:space="preserve">измерение 1         </t>
  </si>
  <si>
    <t>1000 м2 осматриваемых помещений</t>
  </si>
  <si>
    <t>Регулировка и наладка систем отопления</t>
  </si>
  <si>
    <t>1 здание</t>
  </si>
  <si>
    <t>Первое рабочее испытание отдельных частей системы при диаметре трубопровода до 50 мм</t>
  </si>
  <si>
    <t>100 м трубопровода</t>
  </si>
  <si>
    <t>Рабочая проверка системы в целом при диаметре трубопровода до 50 мм</t>
  </si>
  <si>
    <t>Окончательная проверка при сдаче системы при диаметре трубопровода до 50 мм</t>
  </si>
  <si>
    <t>Проверка на прогрев отопительных приборов с регулировкой</t>
  </si>
  <si>
    <t>10 м трубопровода (100 м3 здания)</t>
  </si>
  <si>
    <t>Притирка пробочного крана диаметром 33-50 мм без снятия с места</t>
  </si>
  <si>
    <t>100 кранов</t>
  </si>
  <si>
    <t>Притирка клапана вентиля диаметром 33-50 мм без снятия с места</t>
  </si>
  <si>
    <t>100 вентилей</t>
  </si>
  <si>
    <t>Ликвидация воздушных пробок в стояке системы отопления</t>
  </si>
  <si>
    <t>100 стояков</t>
  </si>
  <si>
    <t>1000 м2  общей площади жилых помещений, оборудованных газовыми плитами (в год для одной смены)</t>
  </si>
  <si>
    <t>Устранение аварии на внутридомовых инженерных сетях при сроке эксплуатации многоквартирного дома от 31 до 50 лет</t>
  </si>
  <si>
    <t>Устранение аварии на внутридомовых инженерных сетях при сроке эксплуатации многоквартирного дома от 51 до 70 лет</t>
  </si>
  <si>
    <t>Итого по разделу:</t>
  </si>
  <si>
    <t>Санитарное содержание мест общего пользования, благоустройство придомовой территории и прочие работы</t>
  </si>
  <si>
    <t>100 м2 убираемой  площади</t>
  </si>
  <si>
    <t>100 м2  убираемой  площади</t>
  </si>
  <si>
    <t>Протирка пыли  с колпаков  светильников (в подвалах, на чердаках и лестничных клетках)</t>
  </si>
  <si>
    <t>100 шт.</t>
  </si>
  <si>
    <t>Протирка пыли  с подоконников в помещениях общего  пользования</t>
  </si>
  <si>
    <t xml:space="preserve">100 м2 подоконников </t>
  </si>
  <si>
    <t>Мытье и протирка дверей  в помещениях общего пользования</t>
  </si>
  <si>
    <t>100 м2 дверей</t>
  </si>
  <si>
    <t>Мытье и протирка оконных рам и переплетов в помещениях общего пользования</t>
  </si>
  <si>
    <t>100 м2 оконных рам</t>
  </si>
  <si>
    <t>Мытье и протирка легкодоступных стекол в окнах  в помещениях общего пользования</t>
  </si>
  <si>
    <t>100 м2 окон</t>
  </si>
  <si>
    <t>Мытье и протирка труднодоступных стекол в окнах  в помещениях общего пользования</t>
  </si>
  <si>
    <t>100 кв.м почтовых ящиков</t>
  </si>
  <si>
    <t>Влажная протирка шкафов для электросчетчиков слаботочных устройств  (с моющим средством)</t>
  </si>
  <si>
    <t>100 кв. м шкафов для электросчетчиков слаботочных устройств</t>
  </si>
  <si>
    <t>100 кв.м. перил лестниц</t>
  </si>
  <si>
    <t>Влажная протирка стен (с моющим средством)</t>
  </si>
  <si>
    <t>100 кв. м стен</t>
  </si>
  <si>
    <t>Влажная протирка отопительных приборов (моющим средством)</t>
  </si>
  <si>
    <t>100 кв. м отопительных приборов</t>
  </si>
  <si>
    <t>100 кв. м. потолков</t>
  </si>
  <si>
    <t>1 000 кв.м. территории</t>
  </si>
  <si>
    <t>Уборка газонов средней засоренности от листьев, сучьев, мусора</t>
  </si>
  <si>
    <t>100 000 кв.м. территории</t>
  </si>
  <si>
    <t>100 000 м2</t>
  </si>
  <si>
    <t>на 100 кв.м.</t>
  </si>
  <si>
    <t>10 000 кв.м. территории</t>
  </si>
  <si>
    <t>100 кв.м. кровли</t>
  </si>
  <si>
    <t>Уборка крыльца и площадки перед входом в подъезд (в холодный период года)</t>
  </si>
  <si>
    <t>100 кв.м</t>
  </si>
  <si>
    <t>Уборка крыльца и площадки перед входом в подъезд (в теплый период года)</t>
  </si>
  <si>
    <t>1000 м2  обрабатываемых  помещений</t>
  </si>
  <si>
    <t>ИТОГО ПО СМЕТЕ:</t>
  </si>
  <si>
    <t>ИТОГО ПО СМЕТЕ</t>
  </si>
  <si>
    <t>Трудовые ресурсы, руб.:</t>
  </si>
  <si>
    <t>Накладные расходы, руб.:</t>
  </si>
  <si>
    <t>Материальные ресурсы, руб.:</t>
  </si>
  <si>
    <t>Прибыль, руб.:</t>
  </si>
  <si>
    <t>Машины/механизмы, руб.:</t>
  </si>
  <si>
    <t>Расходы на управление, руб.:</t>
  </si>
  <si>
    <t>ИТОГО, руб.:</t>
  </si>
  <si>
    <t>Смета расходов. Стоимость и количество ресурсов.</t>
  </si>
  <si>
    <t>Ресурс</t>
  </si>
  <si>
    <t>Ед. измерения</t>
  </si>
  <si>
    <t>Цена, руб.</t>
  </si>
  <si>
    <t>Трудовые ресурсы</t>
  </si>
  <si>
    <t>Дворник 1 разряда</t>
  </si>
  <si>
    <t>чел.-час</t>
  </si>
  <si>
    <t>Дезинфектор 3 разряда</t>
  </si>
  <si>
    <t>Изолировщик на термоизоляции 4 разряда</t>
  </si>
  <si>
    <t>Каменщик 3 разряда</t>
  </si>
  <si>
    <t>Кровельщик по рулонным кровлям и по кровлям из штучных материалов 4 разряда</t>
  </si>
  <si>
    <t>Плотник 4 разряда</t>
  </si>
  <si>
    <t>Подсобный рабочий 1 разряда</t>
  </si>
  <si>
    <t>Рабочий зеленого хозяйства 3 разряда</t>
  </si>
  <si>
    <t>Рабочий по комплексному обслуживанию и ремонту зданий 2 разряда</t>
  </si>
  <si>
    <t>Рабочий по комплексному обслуживанию и ремонту зданий 4 разряда</t>
  </si>
  <si>
    <t>Слесарь по эксплуатации и ремонту газового оборудования 4 разряда</t>
  </si>
  <si>
    <t>Слесарь-ремонтник 3 разряда</t>
  </si>
  <si>
    <t>Слесарь-сантехник 2 разряда</t>
  </si>
  <si>
    <t>Слесарь-сантехник 3 разряда</t>
  </si>
  <si>
    <t>Слесарь-сантехник 4 разряда</t>
  </si>
  <si>
    <t>Слесарь-сантехник 5 разряда</t>
  </si>
  <si>
    <t>Слесарь-сантехник 6 разряда</t>
  </si>
  <si>
    <t>Стеклопротирщик 2 разряда</t>
  </si>
  <si>
    <t>Чистильщик дымоходов, боровок и топок 4 разряда</t>
  </si>
  <si>
    <t>Электрогазосварщик  5 разряда</t>
  </si>
  <si>
    <t>чел.-час./смену</t>
  </si>
  <si>
    <t>Электромонтер по ремонту и обслуживанию электрооборудования 3 разряда</t>
  </si>
  <si>
    <t>Электромонтер по ремонту и обслуживанию электрооборудования 4 разряда</t>
  </si>
  <si>
    <t>ИТОГО:</t>
  </si>
  <si>
    <t>Материальные ресурсы</t>
  </si>
  <si>
    <t>Бензин авиационный Б-70</t>
  </si>
  <si>
    <t>т</t>
  </si>
  <si>
    <t>Болты с гайками и шайбами для санитарно-технических работ, диаметром 16 мм</t>
  </si>
  <si>
    <t>Ветошь</t>
  </si>
  <si>
    <t>кг</t>
  </si>
  <si>
    <t>Вода водопроводная</t>
  </si>
  <si>
    <t>м3</t>
  </si>
  <si>
    <t>Войлок строительный толщиной 15 мм</t>
  </si>
  <si>
    <t>м2</t>
  </si>
  <si>
    <t>Готовая смесь для уничтожения насекомых (порошок Абсолют Дуст)</t>
  </si>
  <si>
    <t>Зоокумарин</t>
  </si>
  <si>
    <t>Клей ALT</t>
  </si>
  <si>
    <t>Краски масляные земляные  МА-0115: мумия, сурик  железный</t>
  </si>
  <si>
    <t xml:space="preserve">Лента изоляционная прорезиненная односторонняя ширина 20 мм, толщина 0,25-0,35 мм </t>
  </si>
  <si>
    <t xml:space="preserve">Лента киперная </t>
  </si>
  <si>
    <t>Масло растительное</t>
  </si>
  <si>
    <t xml:space="preserve">Масса корундовая набивная марки МК-90                   </t>
  </si>
  <si>
    <t>Мешки полиэтиленовые, 60 л</t>
  </si>
  <si>
    <t>1000 шт.</t>
  </si>
  <si>
    <t>Моющее средство</t>
  </si>
  <si>
    <t>Мыло</t>
  </si>
  <si>
    <t>Мыло твердое хозяйственное 72%</t>
  </si>
  <si>
    <t>шт.</t>
  </si>
  <si>
    <t>Набивка сальников</t>
  </si>
  <si>
    <t>Олифа комбинированная К-3</t>
  </si>
  <si>
    <t>Очес льняной</t>
  </si>
  <si>
    <t>Проволока стальная низкоуглеродистая разного  назначения оцинкованная диаметром 1,1 мм</t>
  </si>
  <si>
    <t>Резина листовая вулканизованная цветная</t>
  </si>
  <si>
    <t>Ткань мешочная</t>
  </si>
  <si>
    <t>10 м2</t>
  </si>
  <si>
    <t>Шпагат бумажный влагопрочный одножильный 3,7 мм</t>
  </si>
  <si>
    <t>Специнвентарь</t>
  </si>
  <si>
    <t>Ведро  оцинкованное, 12 л</t>
  </si>
  <si>
    <t xml:space="preserve">Веник обыкновенный </t>
  </si>
  <si>
    <t>Грабли</t>
  </si>
  <si>
    <t>Лопата совковая</t>
  </si>
  <si>
    <t>Лопата штыковая</t>
  </si>
  <si>
    <t>Метла березовая</t>
  </si>
  <si>
    <t>Скребок-ледоруб</t>
  </si>
  <si>
    <t>Совок металлический</t>
  </si>
  <si>
    <t>Тележка</t>
  </si>
  <si>
    <t xml:space="preserve">Швабра </t>
  </si>
  <si>
    <t>Щетка д/пола 280 мм с черенком на резьбе 1,2 м.</t>
  </si>
  <si>
    <t xml:space="preserve">Щетка для мытья окон </t>
  </si>
  <si>
    <t>Машины/Механизмы</t>
  </si>
  <si>
    <t>Газонокосилка</t>
  </si>
  <si>
    <t>маш.-час</t>
  </si>
  <si>
    <t>Установки для гидравлических испытаний трубопроводов, давление нагнетания низкое 0,1 мПа (1 кгс/см2), высокое 10 мПа (100 кгс/см2)</t>
  </si>
  <si>
    <t>Осмотр всех элементов кровель из штучных материалов, водостоков (Обоснование: Пост. Госкомтруда СССР от 05.10.1987 N 601/28-53 ТНВ на работы по текущему ремонту жилищного фонда, п.3.7.1)</t>
  </si>
  <si>
    <t>Осмотр водопровода, канализации и горячего водоснабжения (Обоснование: Госстрой РФ Приказ N139, часть 2, п.2.2.1.2, Табл.2, Норма 23)</t>
  </si>
  <si>
    <t>Промывка участка водопровода (Обоснование: Госстрой РФ, Приказ N139, ч.2, п.2.2.2.1, таб.4, норма 36)</t>
  </si>
  <si>
    <t>Проведение технических осмотров и устранение незначительных неисправностей в системе вентиляции (Обоснование: Указания по планированию текущего ремонта жилых зданий и организаций труда рабочих управлений домами (ЖЭК), м., 1970, Ленинград, разработ. ЛНИИ АКХ)</t>
  </si>
  <si>
    <t>Осмотр внутриквартирных устройств системы центрального отопления (Обоснование: Пост. Госкомтруда СССР от 05.10.1987 N 601/28-53 ТНВ на работы по текущему ремонту жилищного фонда, п.3.7.7)</t>
  </si>
  <si>
    <t>Осмотр устройства системы центрального отопления в чердачных и подвальных помещениях (Обоснование: Пост. Госкомтруда СССР от 05.10.1987 N 601/28-53 ТНВ на работы по текущему ремонту жилищного фонда, п.3.7.7)</t>
  </si>
  <si>
    <t>Промывка трубопроводов системы центрального отопления до 50 мм (Обоснование: Типовые нормы времени на работы по текущему ремонту жилищного фонда, 1990 г. № 3.4.52.)</t>
  </si>
  <si>
    <t>Устранение аварии на внутридомовых инженерных сетях при сроке эксплуатации многоквартирного дома от 11 до 30  лет (Обоснование: Рекомендации по нормированию труда работников АРС ЖХ, таб. 4, прил 2)</t>
  </si>
  <si>
    <t>Подметание лестничных площадок и маршей нижних трех этажей с предварительным их увлажнением (в доме без лифтов и мусоропровода) (Обоснование: Приказы Госстроя РФ от 09.12.99 №139 (Табл.39) и от 22.08.00 №191 (Табл.23))</t>
  </si>
  <si>
    <t>Мытье  лестничных площадок и маршей нижних трех этажей (в доме без лифтов и мусоропровода) (Обоснование: Приказы Госстроя РФ от 09.12.99 №139 (Табл.40) и от 22.08.00 №191 (Табл.23,28))</t>
  </si>
  <si>
    <t>Влажная протирка почтовых ящиков (с моющим средством) (Обоснование: Приказы Госстроя РФ от 09.12.99 №139 (Табл.41) и от 22.08.00 №191 (Табл.39))</t>
  </si>
  <si>
    <t>Влажная протирка перил лестниц (с моющим средством)(Обоснование: Приказы Госстроя РФ от 09.12.99 №139 (Табл.41) и от 22.08.00 №191 (Табл.29))</t>
  </si>
  <si>
    <t>Обметание пыли с потолков (Обоснование: Приказ Госстроя РФ №139 от 09.12.1999 (п.4.2.1.4), Приказ Госстроя РФ №191 от 22.08.2000 (п. 4.2.2.4. Табл. 27))</t>
  </si>
  <si>
    <t>Подметание в летний период  земельного участка с усовершенствованным покрытием 1 класса (Обоснование: Приказ Госстроя РФ от 09.12.99 №139 (п. 2.2.1.19. Табл. 10.))</t>
  </si>
  <si>
    <t>Уборка газонов от случайного мусора (Обоснование: Приказ Госстроя №139 от 09.12.1999, Табл. 11.)</t>
  </si>
  <si>
    <t>Стрижка газонов (Обоснование: ГЭСНр 68-4)</t>
  </si>
  <si>
    <t>Сдвижка и подметание снега при снегопаде на придомовой территории с усовершенствованным покрытием 1 класса (Обоснование: Приказы Госстроя РФ от 09.12.99 №139 (п. 2.2.1.6., Табл.4) и от 22.08.00 №191 (п. 2.2.1, Табл.1))</t>
  </si>
  <si>
    <t>Очистка территории с усовершенствованным покрытием 1 класса от наледи без обработки противогололедными реагентами (Обоснование: Приказы Госстроя РФ от 09.12.99 №139 (п. 2.1.1.8., Табл.6) и от 22.08.00 №191 (п. 2.2.1, Табл.1))</t>
  </si>
  <si>
    <t>Очистка кровли от снега, сбивание сосулек (при толщине слоя до 10 см) (Обоснование: ЕНиР Сборник Е20. Е20-1-257.)</t>
  </si>
  <si>
    <t>Дератизация чердаков и подвалов с применением зоокумарина (Обоснование: 03.36 Нормативы трудовых и мат ресурсов для выполнения работ и услуг по содержанию и ремонту общего имущества МКД)</t>
  </si>
  <si>
    <t>Дезинсекция  подвалов (Обоснование: 03.36 Нормативы трудовых и мат ресурсов для выполнения работ и услуг по содержанию и ремонту общего имущества МКД)</t>
  </si>
  <si>
    <t>7 % Прибыль, руб.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</si>
</sst>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8">
    <font>
      <sz val="9"/>
      <color indexed="8"/>
      <name val="Arial"/>
      <family val="0"/>
    </font>
    <font>
      <b/>
      <sz val="18"/>
      <color indexed="10"/>
      <name val="Arial"/>
      <family val="0"/>
    </font>
    <font>
      <b/>
      <sz val="10"/>
      <color indexed="9"/>
      <name val="Arial"/>
      <family val="0"/>
    </font>
    <font>
      <b/>
      <sz val="14"/>
      <color indexed="12"/>
      <name val="Arial"/>
      <family val="0"/>
    </font>
    <font>
      <b/>
      <sz val="11"/>
      <color indexed="13"/>
      <name val="Arial"/>
      <family val="0"/>
    </font>
    <font>
      <b/>
      <sz val="11"/>
      <color indexed="8"/>
      <name val="Arial"/>
      <family val="0"/>
    </font>
    <font>
      <b/>
      <sz val="10"/>
      <color indexed="8"/>
      <name val="Arial"/>
      <family val="0"/>
    </font>
    <font>
      <b/>
      <sz val="9"/>
      <color indexed="8"/>
      <name val="Arial"/>
      <family val="0"/>
    </font>
    <font>
      <b/>
      <sz val="14"/>
      <color indexed="13"/>
      <name val="Arial"/>
      <family val="0"/>
    </font>
    <font>
      <b/>
      <sz val="18"/>
      <color indexed="17"/>
      <name val="Courier"/>
      <family val="0"/>
    </font>
    <font>
      <b/>
      <sz val="10"/>
      <color indexed="9"/>
      <name val="Courier"/>
      <family val="0"/>
    </font>
    <font>
      <b/>
      <sz val="12"/>
      <color indexed="17"/>
      <name val="Courier"/>
      <family val="0"/>
    </font>
    <font>
      <b/>
      <sz val="9"/>
      <color indexed="19"/>
      <name val="Arial"/>
      <family val="0"/>
    </font>
    <font>
      <b/>
      <sz val="9"/>
      <color indexed="17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13"/>
      <name val="Calibri"/>
      <family val="2"/>
    </font>
    <font>
      <b/>
      <sz val="13"/>
      <color indexed="13"/>
      <name val="Calibri"/>
      <family val="2"/>
    </font>
    <font>
      <b/>
      <sz val="11"/>
      <color indexed="13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13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5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4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>
        <color indexed="8"/>
      </left>
      <right style="thin">
        <color indexed="9"/>
      </right>
      <top style="thick">
        <color indexed="8"/>
      </top>
      <bottom style="thick">
        <color indexed="8"/>
      </bottom>
    </border>
    <border>
      <left style="thin">
        <color indexed="9"/>
      </left>
      <right style="thin">
        <color indexed="9"/>
      </right>
      <top style="thick">
        <color indexed="8"/>
      </top>
      <bottom style="thick">
        <color indexed="8"/>
      </bottom>
    </border>
    <border>
      <left style="thin">
        <color indexed="9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</borders>
  <cellStyleXfs count="56"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59">
    <xf numFmtId="0" fontId="0" fillId="0" borderId="0" xfId="0" applyFill="1" applyAlignment="1" applyProtection="1">
      <alignment horizontal="left" vertical="center" wrapText="1"/>
      <protection/>
    </xf>
    <xf numFmtId="0" fontId="1" fillId="0" borderId="0" xfId="0" applyFont="1" applyFill="1" applyAlignment="1" applyProtection="1">
      <alignment horizontal="left" vertical="center" wrapText="1"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0" fontId="2" fillId="33" borderId="11" xfId="0" applyFont="1" applyFill="1" applyBorder="1" applyAlignment="1" applyProtection="1">
      <alignment horizontal="center" vertical="center" wrapText="1"/>
      <protection/>
    </xf>
    <xf numFmtId="0" fontId="2" fillId="33" borderId="12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 horizontal="right" vertical="center" wrapText="1"/>
      <protection/>
    </xf>
    <xf numFmtId="0" fontId="0" fillId="0" borderId="13" xfId="0" applyFill="1" applyBorder="1" applyAlignment="1" applyProtection="1">
      <alignment horizontal="left" vertical="center" wrapText="1"/>
      <protection/>
    </xf>
    <xf numFmtId="0" fontId="0" fillId="0" borderId="14" xfId="0" applyFill="1" applyBorder="1" applyAlignment="1" applyProtection="1">
      <alignment horizontal="left" vertical="center" wrapText="1"/>
      <protection/>
    </xf>
    <xf numFmtId="0" fontId="0" fillId="0" borderId="15" xfId="0" applyFill="1" applyBorder="1" applyAlignment="1" applyProtection="1">
      <alignment horizontal="center" vertical="center" wrapText="1"/>
      <protection/>
    </xf>
    <xf numFmtId="0" fontId="0" fillId="0" borderId="16" xfId="0" applyFill="1" applyBorder="1" applyAlignment="1" applyProtection="1">
      <alignment horizontal="center" vertical="center" wrapText="1"/>
      <protection/>
    </xf>
    <xf numFmtId="0" fontId="0" fillId="0" borderId="13" xfId="0" applyFill="1" applyBorder="1" applyAlignment="1" applyProtection="1">
      <alignment horizontal="center" vertical="center" wrapText="1"/>
      <protection/>
    </xf>
    <xf numFmtId="0" fontId="0" fillId="0" borderId="14" xfId="0" applyFill="1" applyBorder="1" applyAlignment="1" applyProtection="1">
      <alignment horizontal="center" vertical="center" wrapText="1"/>
      <protection/>
    </xf>
    <xf numFmtId="0" fontId="0" fillId="0" borderId="14" xfId="0" applyFill="1" applyBorder="1" applyAlignment="1" applyProtection="1">
      <alignment horizontal="right" vertical="center" wrapText="1"/>
      <protection/>
    </xf>
    <xf numFmtId="4" fontId="0" fillId="0" borderId="13" xfId="0" applyNumberFormat="1" applyFill="1" applyBorder="1" applyAlignment="1" applyProtection="1">
      <alignment horizontal="right" vertical="center" wrapText="1"/>
      <protection/>
    </xf>
    <xf numFmtId="4" fontId="0" fillId="0" borderId="14" xfId="0" applyNumberFormat="1" applyFill="1" applyBorder="1" applyAlignment="1" applyProtection="1">
      <alignment horizontal="right" vertical="center" wrapText="1"/>
      <protection/>
    </xf>
    <xf numFmtId="4" fontId="7" fillId="34" borderId="17" xfId="0" applyNumberFormat="1" applyFont="1" applyFill="1" applyBorder="1" applyAlignment="1" applyProtection="1">
      <alignment horizontal="right" vertical="center" wrapText="1"/>
      <protection/>
    </xf>
    <xf numFmtId="4" fontId="4" fillId="0" borderId="0" xfId="0" applyNumberFormat="1" applyFont="1" applyFill="1" applyAlignment="1" applyProtection="1">
      <alignment horizontal="right" vertical="center" wrapText="1"/>
      <protection/>
    </xf>
    <xf numFmtId="4" fontId="0" fillId="0" borderId="18" xfId="0" applyNumberFormat="1" applyFill="1" applyBorder="1" applyAlignment="1" applyProtection="1">
      <alignment horizontal="right" vertical="center" wrapText="1"/>
      <protection/>
    </xf>
    <xf numFmtId="4" fontId="0" fillId="0" borderId="19" xfId="0" applyNumberFormat="1" applyFill="1" applyBorder="1" applyAlignment="1" applyProtection="1">
      <alignment horizontal="right" vertical="center" wrapText="1"/>
      <protection/>
    </xf>
    <xf numFmtId="4" fontId="0" fillId="0" borderId="20" xfId="0" applyNumberFormat="1" applyFill="1" applyBorder="1" applyAlignment="1" applyProtection="1">
      <alignment horizontal="right" vertical="center" wrapText="1"/>
      <protection/>
    </xf>
    <xf numFmtId="4" fontId="6" fillId="35" borderId="21" xfId="0" applyNumberFormat="1" applyFont="1" applyFill="1" applyBorder="1" applyAlignment="1" applyProtection="1">
      <alignment horizontal="right" vertical="center" wrapText="1"/>
      <protection/>
    </xf>
    <xf numFmtId="4" fontId="6" fillId="35" borderId="22" xfId="0" applyNumberFormat="1" applyFont="1" applyFill="1" applyBorder="1" applyAlignment="1" applyProtection="1">
      <alignment horizontal="right" vertical="center" wrapText="1"/>
      <protection/>
    </xf>
    <xf numFmtId="4" fontId="4" fillId="0" borderId="0" xfId="0" applyNumberFormat="1" applyFont="1" applyFill="1" applyAlignment="1" applyProtection="1">
      <alignment horizontal="left" vertical="center" wrapText="1"/>
      <protection/>
    </xf>
    <xf numFmtId="0" fontId="10" fillId="36" borderId="23" xfId="0" applyFont="1" applyFill="1" applyBorder="1" applyAlignment="1" applyProtection="1">
      <alignment horizontal="center" vertical="center" wrapText="1"/>
      <protection/>
    </xf>
    <xf numFmtId="0" fontId="10" fillId="36" borderId="24" xfId="0" applyFont="1" applyFill="1" applyBorder="1" applyAlignment="1" applyProtection="1">
      <alignment horizontal="center" vertical="center" wrapText="1"/>
      <protection/>
    </xf>
    <xf numFmtId="0" fontId="10" fillId="36" borderId="25" xfId="0" applyFont="1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0" fillId="0" borderId="27" xfId="0" applyFill="1" applyBorder="1" applyAlignment="1" applyProtection="1">
      <alignment horizontal="center" vertical="center" wrapText="1"/>
      <protection/>
    </xf>
    <xf numFmtId="0" fontId="0" fillId="0" borderId="28" xfId="0" applyFill="1" applyBorder="1" applyAlignment="1" applyProtection="1">
      <alignment horizontal="left" vertical="center" wrapText="1"/>
      <protection/>
    </xf>
    <xf numFmtId="0" fontId="0" fillId="0" borderId="28" xfId="0" applyFill="1" applyBorder="1" applyAlignment="1" applyProtection="1">
      <alignment horizontal="right" vertical="center" wrapText="1"/>
      <protection/>
    </xf>
    <xf numFmtId="4" fontId="0" fillId="0" borderId="28" xfId="0" applyNumberFormat="1" applyFill="1" applyBorder="1" applyAlignment="1" applyProtection="1">
      <alignment horizontal="right" vertical="center" wrapText="1"/>
      <protection/>
    </xf>
    <xf numFmtId="4" fontId="12" fillId="0" borderId="14" xfId="0" applyNumberFormat="1" applyFont="1" applyFill="1" applyBorder="1" applyAlignment="1" applyProtection="1">
      <alignment horizontal="right" vertical="center" wrapText="1"/>
      <protection/>
    </xf>
    <xf numFmtId="4" fontId="0" fillId="0" borderId="29" xfId="0" applyNumberFormat="1" applyFill="1" applyBorder="1" applyAlignment="1" applyProtection="1">
      <alignment horizontal="right" vertical="center" wrapText="1"/>
      <protection/>
    </xf>
    <xf numFmtId="4" fontId="0" fillId="0" borderId="30" xfId="0" applyNumberFormat="1" applyFill="1" applyBorder="1" applyAlignment="1" applyProtection="1">
      <alignment horizontal="right" vertical="center" wrapText="1"/>
      <protection/>
    </xf>
    <xf numFmtId="4" fontId="13" fillId="0" borderId="31" xfId="0" applyNumberFormat="1" applyFont="1" applyFill="1" applyBorder="1" applyAlignment="1" applyProtection="1">
      <alignment horizontal="right" vertical="center" wrapText="1"/>
      <protection/>
    </xf>
    <xf numFmtId="0" fontId="0" fillId="0" borderId="14" xfId="0" applyFont="1" applyFill="1" applyBorder="1" applyAlignment="1" applyProtection="1">
      <alignment horizontal="left" vertical="center" wrapText="1"/>
      <protection/>
    </xf>
    <xf numFmtId="0" fontId="0" fillId="0" borderId="13" xfId="0" applyFont="1" applyFill="1" applyBorder="1" applyAlignment="1" applyProtection="1">
      <alignment horizontal="left" vertical="center" wrapText="1"/>
      <protection/>
    </xf>
    <xf numFmtId="0" fontId="2" fillId="33" borderId="11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left" vertical="center" wrapText="1"/>
      <protection/>
    </xf>
    <xf numFmtId="0" fontId="3" fillId="0" borderId="32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horizontal="left" vertical="center" wrapText="1"/>
      <protection/>
    </xf>
    <xf numFmtId="4" fontId="0" fillId="0" borderId="0" xfId="0" applyNumberFormat="1" applyFill="1" applyAlignment="1" applyProtection="1">
      <alignment horizontal="left" vertical="center" wrapText="1"/>
      <protection/>
    </xf>
    <xf numFmtId="4" fontId="4" fillId="0" borderId="0" xfId="0" applyNumberFormat="1" applyFont="1" applyFill="1" applyAlignment="1" applyProtection="1">
      <alignment horizontal="right" vertical="center" wrapText="1"/>
      <protection/>
    </xf>
    <xf numFmtId="0" fontId="5" fillId="37" borderId="33" xfId="0" applyFont="1" applyFill="1" applyBorder="1" applyAlignment="1" applyProtection="1">
      <alignment horizontal="left" vertical="center" wrapText="1"/>
      <protection/>
    </xf>
    <xf numFmtId="0" fontId="5" fillId="37" borderId="34" xfId="0" applyFont="1" applyFill="1" applyBorder="1" applyAlignment="1" applyProtection="1">
      <alignment horizontal="left" vertical="center" wrapText="1"/>
      <protection/>
    </xf>
    <xf numFmtId="4" fontId="5" fillId="37" borderId="34" xfId="0" applyNumberFormat="1" applyFont="1" applyFill="1" applyBorder="1" applyAlignment="1" applyProtection="1">
      <alignment horizontal="left" vertical="center" wrapText="1"/>
      <protection/>
    </xf>
    <xf numFmtId="4" fontId="5" fillId="37" borderId="35" xfId="0" applyNumberFormat="1" applyFont="1" applyFill="1" applyBorder="1" applyAlignment="1" applyProtection="1">
      <alignment horizontal="left" vertical="center" wrapText="1"/>
      <protection/>
    </xf>
    <xf numFmtId="0" fontId="6" fillId="34" borderId="36" xfId="0" applyFont="1" applyFill="1" applyBorder="1" applyAlignment="1" applyProtection="1">
      <alignment horizontal="left" vertical="center" wrapText="1"/>
      <protection/>
    </xf>
    <xf numFmtId="0" fontId="6" fillId="34" borderId="17" xfId="0" applyFont="1" applyFill="1" applyBorder="1" applyAlignment="1" applyProtection="1">
      <alignment horizontal="left" vertical="center" wrapText="1"/>
      <protection/>
    </xf>
    <xf numFmtId="0" fontId="6" fillId="35" borderId="37" xfId="0" applyFont="1" applyFill="1" applyBorder="1" applyAlignment="1" applyProtection="1">
      <alignment horizontal="right" vertical="center" wrapText="1"/>
      <protection/>
    </xf>
    <xf numFmtId="0" fontId="6" fillId="35" borderId="21" xfId="0" applyFont="1" applyFill="1" applyBorder="1" applyAlignment="1" applyProtection="1">
      <alignment horizontal="right" vertical="center" wrapText="1"/>
      <protection/>
    </xf>
    <xf numFmtId="0" fontId="8" fillId="0" borderId="0" xfId="0" applyFont="1" applyFill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 horizontal="right" vertical="center" wrapText="1"/>
      <protection/>
    </xf>
    <xf numFmtId="4" fontId="4" fillId="0" borderId="0" xfId="0" applyNumberFormat="1" applyFont="1" applyFill="1" applyAlignment="1" applyProtection="1">
      <alignment horizontal="left" vertical="center" wrapText="1"/>
      <protection/>
    </xf>
    <xf numFmtId="0" fontId="13" fillId="0" borderId="38" xfId="0" applyFont="1" applyFill="1" applyBorder="1" applyAlignment="1" applyProtection="1">
      <alignment horizontal="left" vertical="center" wrapText="1"/>
      <protection/>
    </xf>
    <xf numFmtId="0" fontId="13" fillId="0" borderId="39" xfId="0" applyFont="1" applyFill="1" applyBorder="1" applyAlignment="1" applyProtection="1">
      <alignment horizontal="left" vertical="center" wrapText="1"/>
      <protection/>
    </xf>
    <xf numFmtId="4" fontId="13" fillId="0" borderId="39" xfId="0" applyNumberFormat="1" applyFont="1" applyFill="1" applyBorder="1" applyAlignment="1" applyProtection="1">
      <alignment horizontal="left" vertical="center" wrapText="1"/>
      <protection/>
    </xf>
    <xf numFmtId="0" fontId="11" fillId="0" borderId="0" xfId="0" applyFont="1" applyFill="1" applyAlignment="1" applyProtection="1">
      <alignment horizontal="left" vertical="center" wrapText="1"/>
      <protection/>
    </xf>
    <xf numFmtId="0" fontId="9" fillId="0" borderId="0" xfId="0" applyFont="1" applyFill="1" applyAlignment="1" applyProtection="1">
      <alignment horizontal="center" vertical="center" wrapText="1"/>
      <protection/>
    </xf>
  </cellXfs>
  <cellStyles count="4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37474F"/>
      <rgbColor rgb="00546E7A"/>
      <rgbColor rgb="00E65100"/>
      <rgbColor rgb="00455A64"/>
      <rgbColor rgb="00CFD8DC"/>
      <rgbColor rgb="00ECEFF1"/>
      <rgbColor rgb="00FFE0B2"/>
      <rgbColor rgb="00600000"/>
      <rgbColor rgb="004682B4"/>
      <rgbColor rgb="000000B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71"/>
  <sheetViews>
    <sheetView tabSelected="1" workbookViewId="0" topLeftCell="B25">
      <selection activeCell="B4" sqref="B4:K4"/>
    </sheetView>
  </sheetViews>
  <sheetFormatPr defaultColWidth="9.140625" defaultRowHeight="12"/>
  <cols>
    <col min="1" max="1" width="0" style="0" hidden="1" customWidth="1"/>
    <col min="2" max="2" width="7.00390625" style="0" customWidth="1"/>
    <col min="3" max="3" width="50.00390625" style="0" customWidth="1"/>
    <col min="4" max="4" width="18.00390625" style="0" customWidth="1"/>
    <col min="5" max="5" width="15.00390625" style="0" customWidth="1"/>
    <col min="6" max="6" width="12.00390625" style="0" customWidth="1"/>
    <col min="7" max="12" width="13.00390625" style="0" customWidth="1"/>
    <col min="13" max="14" width="15.00390625" style="0" customWidth="1"/>
  </cols>
  <sheetData>
    <row r="1" spans="2:14" ht="23.25">
      <c r="B1" s="38" t="s">
        <v>0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1"/>
    </row>
    <row r="3" spans="2:14" ht="54.75" customHeight="1">
      <c r="B3" s="2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37" t="s">
        <v>197</v>
      </c>
      <c r="L3" s="3" t="s">
        <v>10</v>
      </c>
      <c r="M3" s="3" t="s">
        <v>11</v>
      </c>
      <c r="N3" s="4" t="s">
        <v>12</v>
      </c>
    </row>
    <row r="4" spans="2:14" ht="24.75" customHeight="1">
      <c r="B4" s="39"/>
      <c r="C4" s="40"/>
      <c r="D4" s="40"/>
      <c r="E4" s="40"/>
      <c r="F4" s="40"/>
      <c r="G4" s="41"/>
      <c r="H4" s="41"/>
      <c r="I4" s="41"/>
      <c r="J4" s="41"/>
      <c r="K4" s="41"/>
      <c r="L4" s="42" t="s">
        <v>13</v>
      </c>
      <c r="M4" s="42"/>
      <c r="N4" s="16">
        <v>26250</v>
      </c>
    </row>
    <row r="5" spans="2:14" ht="21.75" customHeight="1">
      <c r="B5" s="43" t="s">
        <v>14</v>
      </c>
      <c r="C5" s="44"/>
      <c r="D5" s="44"/>
      <c r="E5" s="44"/>
      <c r="F5" s="44"/>
      <c r="G5" s="45"/>
      <c r="H5" s="45"/>
      <c r="I5" s="45"/>
      <c r="J5" s="45"/>
      <c r="K5" s="45"/>
      <c r="L5" s="45"/>
      <c r="M5" s="45"/>
      <c r="N5" s="46"/>
    </row>
    <row r="6" spans="2:14" ht="24.75" thickTop="1">
      <c r="B6" s="8">
        <v>1</v>
      </c>
      <c r="C6" s="6" t="s">
        <v>15</v>
      </c>
      <c r="D6" s="6" t="s">
        <v>16</v>
      </c>
      <c r="E6" s="10">
        <v>26.25</v>
      </c>
      <c r="F6" s="10">
        <v>2</v>
      </c>
      <c r="G6" s="13">
        <f>0.206*E6*F6</f>
        <v>10.815</v>
      </c>
      <c r="H6" s="13">
        <f>4111.4116758786*E6*F6</f>
        <v>215849.11298362652</v>
      </c>
      <c r="I6" s="13">
        <f aca="true" t="shared" si="0" ref="I6:I23">0*E6*F6</f>
        <v>0</v>
      </c>
      <c r="J6" s="13">
        <f>0.196112*E6*F6</f>
        <v>10.29588</v>
      </c>
      <c r="K6" s="13">
        <f>534.53579242422*E6*F6</f>
        <v>28063.12910227155</v>
      </c>
      <c r="L6" s="13">
        <f>0.0412*E6*F6</f>
        <v>2.163</v>
      </c>
      <c r="M6" s="13">
        <f aca="true" t="shared" si="1" ref="M6:M34">SUM(G6:L6)</f>
        <v>243935.51596589806</v>
      </c>
      <c r="N6" s="17">
        <f>IF(N4&gt;0,(M6/$N$4/12),0)</f>
        <v>0.7743984633838034</v>
      </c>
    </row>
    <row r="7" spans="2:14" ht="24">
      <c r="B7" s="9">
        <v>2</v>
      </c>
      <c r="C7" s="7" t="s">
        <v>17</v>
      </c>
      <c r="D7" s="7" t="s">
        <v>16</v>
      </c>
      <c r="E7" s="11">
        <v>26.25</v>
      </c>
      <c r="F7" s="11">
        <v>2</v>
      </c>
      <c r="G7" s="14">
        <f>0.0039*E7*F7</f>
        <v>0.20475</v>
      </c>
      <c r="H7" s="14">
        <f aca="true" t="shared" si="2" ref="H7:H14">0*E7*F7</f>
        <v>0</v>
      </c>
      <c r="I7" s="14">
        <f t="shared" si="0"/>
        <v>0</v>
      </c>
      <c r="J7" s="14">
        <f>0.0037128*E7*F7</f>
        <v>0.194922</v>
      </c>
      <c r="K7" s="14">
        <f>0.000989664*E7*F7</f>
        <v>0.051957359999999994</v>
      </c>
      <c r="L7" s="14">
        <f>0.00078*E7*F7</f>
        <v>0.04095</v>
      </c>
      <c r="M7" s="14">
        <f t="shared" si="1"/>
        <v>0.49257936</v>
      </c>
      <c r="N7" s="18">
        <f>IF(N4&gt;0,(M7/$N$4/12),0)</f>
        <v>1.5637440000000001E-06</v>
      </c>
    </row>
    <row r="8" spans="2:14" ht="24">
      <c r="B8" s="9">
        <v>3</v>
      </c>
      <c r="C8" s="7" t="s">
        <v>18</v>
      </c>
      <c r="D8" s="7" t="s">
        <v>16</v>
      </c>
      <c r="E8" s="11">
        <v>0</v>
      </c>
      <c r="F8" s="11">
        <v>2</v>
      </c>
      <c r="G8" s="14">
        <f>5906.578923*E8*F8</f>
        <v>0</v>
      </c>
      <c r="H8" s="14">
        <f t="shared" si="2"/>
        <v>0</v>
      </c>
      <c r="I8" s="14">
        <f t="shared" si="0"/>
        <v>0</v>
      </c>
      <c r="J8" s="14">
        <f>5623.063134696*E8*F8</f>
        <v>0</v>
      </c>
      <c r="K8" s="14">
        <f>1498.8534675005*E8*F8</f>
        <v>0</v>
      </c>
      <c r="L8" s="14">
        <f>1181.3157846*E8*F8</f>
        <v>0</v>
      </c>
      <c r="M8" s="14">
        <f t="shared" si="1"/>
        <v>0</v>
      </c>
      <c r="N8" s="18">
        <f>IF(N4&gt;0,(M8/$N$4/12),0)</f>
        <v>0</v>
      </c>
    </row>
    <row r="9" spans="2:14" ht="24">
      <c r="B9" s="9">
        <v>4</v>
      </c>
      <c r="C9" s="7" t="s">
        <v>19</v>
      </c>
      <c r="D9" s="7" t="s">
        <v>16</v>
      </c>
      <c r="E9" s="11">
        <v>0</v>
      </c>
      <c r="F9" s="11">
        <v>2</v>
      </c>
      <c r="G9" s="14">
        <f>1506.7803375*E9*F9</f>
        <v>0</v>
      </c>
      <c r="H9" s="14">
        <f t="shared" si="2"/>
        <v>0</v>
      </c>
      <c r="I9" s="14">
        <f t="shared" si="0"/>
        <v>0</v>
      </c>
      <c r="J9" s="14">
        <f>1434.4548813*E9*F9</f>
        <v>0</v>
      </c>
      <c r="K9" s="14">
        <f>382.360578444*E9*F9</f>
        <v>0</v>
      </c>
      <c r="L9" s="14">
        <f>301.3560675*E9*F9</f>
        <v>0</v>
      </c>
      <c r="M9" s="14">
        <f t="shared" si="1"/>
        <v>0</v>
      </c>
      <c r="N9" s="18">
        <f>IF(N4&gt;0,(M9/$N$4/12),0)</f>
        <v>0</v>
      </c>
    </row>
    <row r="10" spans="2:14" ht="12">
      <c r="B10" s="9">
        <v>5</v>
      </c>
      <c r="C10" s="7" t="s">
        <v>20</v>
      </c>
      <c r="D10" s="7" t="s">
        <v>21</v>
      </c>
      <c r="E10" s="11">
        <v>0</v>
      </c>
      <c r="F10" s="11">
        <v>2</v>
      </c>
      <c r="G10" s="14">
        <f>1265.6954835*E10*F10</f>
        <v>0</v>
      </c>
      <c r="H10" s="14">
        <f t="shared" si="2"/>
        <v>0</v>
      </c>
      <c r="I10" s="14">
        <f t="shared" si="0"/>
        <v>0</v>
      </c>
      <c r="J10" s="14">
        <f>1204.942100292*E10*F10</f>
        <v>0</v>
      </c>
      <c r="K10" s="14">
        <f>321.18288589296*E10*F10</f>
        <v>0</v>
      </c>
      <c r="L10" s="14">
        <f>253.1390967*E10*F10</f>
        <v>0</v>
      </c>
      <c r="M10" s="14">
        <f t="shared" si="1"/>
        <v>0</v>
      </c>
      <c r="N10" s="18">
        <f>IF(N4&gt;0,(M10/$N$4/12),0)</f>
        <v>0</v>
      </c>
    </row>
    <row r="11" spans="2:14" ht="24">
      <c r="B11" s="9">
        <v>6</v>
      </c>
      <c r="C11" s="7" t="s">
        <v>22</v>
      </c>
      <c r="D11" s="7" t="s">
        <v>16</v>
      </c>
      <c r="E11" s="11">
        <v>26.25</v>
      </c>
      <c r="F11" s="11">
        <v>2</v>
      </c>
      <c r="G11" s="14">
        <f>0.04*E11*F11</f>
        <v>2.1</v>
      </c>
      <c r="H11" s="14">
        <f t="shared" si="2"/>
        <v>0</v>
      </c>
      <c r="I11" s="14">
        <f t="shared" si="0"/>
        <v>0</v>
      </c>
      <c r="J11" s="14">
        <f>0.03808*E11*F11</f>
        <v>1.9992</v>
      </c>
      <c r="K11" s="14">
        <f>0.0101504*E11*F11</f>
        <v>0.532896</v>
      </c>
      <c r="L11" s="14">
        <f>0.008*E11*F11</f>
        <v>0.42</v>
      </c>
      <c r="M11" s="14">
        <f t="shared" si="1"/>
        <v>5.052096</v>
      </c>
      <c r="N11" s="18">
        <f>IF(N4&gt;0,(M11/$N$4/12),0)</f>
        <v>1.60384E-05</v>
      </c>
    </row>
    <row r="12" spans="2:14" ht="48">
      <c r="B12" s="9">
        <v>7</v>
      </c>
      <c r="C12" s="35" t="s">
        <v>176</v>
      </c>
      <c r="D12" s="7" t="s">
        <v>23</v>
      </c>
      <c r="E12" s="11">
        <v>10.39</v>
      </c>
      <c r="F12" s="11">
        <v>2</v>
      </c>
      <c r="G12" s="14">
        <f>0.026*E12*F12</f>
        <v>0.54028</v>
      </c>
      <c r="H12" s="14">
        <f t="shared" si="2"/>
        <v>0</v>
      </c>
      <c r="I12" s="14">
        <f t="shared" si="0"/>
        <v>0</v>
      </c>
      <c r="J12" s="14">
        <f>0.024752*E12*F12</f>
        <v>0.51434656</v>
      </c>
      <c r="K12" s="14">
        <f>0.00659776*E12*F12</f>
        <v>0.13710145280000002</v>
      </c>
      <c r="L12" s="14">
        <f>0.0052*E12*F12</f>
        <v>0.108056</v>
      </c>
      <c r="M12" s="14">
        <f t="shared" si="1"/>
        <v>1.2997840128</v>
      </c>
      <c r="N12" s="18">
        <f>IF(N4&gt;0,(M12/$N$4/12),0)</f>
        <v>4.126298453333333E-06</v>
      </c>
    </row>
    <row r="13" spans="2:14" ht="36">
      <c r="B13" s="9">
        <v>8</v>
      </c>
      <c r="C13" s="35" t="s">
        <v>177</v>
      </c>
      <c r="D13" s="7" t="s">
        <v>24</v>
      </c>
      <c r="E13" s="11">
        <v>2.87</v>
      </c>
      <c r="F13" s="11">
        <v>2</v>
      </c>
      <c r="G13" s="14">
        <f>36179.4*E13*F13</f>
        <v>207669.75600000002</v>
      </c>
      <c r="H13" s="14">
        <f t="shared" si="2"/>
        <v>0</v>
      </c>
      <c r="I13" s="14">
        <f t="shared" si="0"/>
        <v>0</v>
      </c>
      <c r="J13" s="14">
        <f>34442.7888*E13*F13</f>
        <v>197701.60771200003</v>
      </c>
      <c r="K13" s="14">
        <f>9180.884544*E13*F13</f>
        <v>52698.277282560004</v>
      </c>
      <c r="L13" s="14">
        <f>7235.88*E13*F13</f>
        <v>41533.9512</v>
      </c>
      <c r="M13" s="14">
        <f t="shared" si="1"/>
        <v>499603.5921945601</v>
      </c>
      <c r="N13" s="18">
        <f>IF(N4&gt;0,(M13/$N$4/12),0)</f>
        <v>1.5860431498240004</v>
      </c>
    </row>
    <row r="14" spans="2:14" ht="24">
      <c r="B14" s="9">
        <v>9</v>
      </c>
      <c r="C14" s="35" t="s">
        <v>178</v>
      </c>
      <c r="D14" s="7" t="s">
        <v>25</v>
      </c>
      <c r="E14" s="11">
        <v>1021.2</v>
      </c>
      <c r="F14" s="11">
        <v>2</v>
      </c>
      <c r="G14" s="14">
        <f>524.6013*E14*F14</f>
        <v>1071445.69512</v>
      </c>
      <c r="H14" s="14">
        <f t="shared" si="2"/>
        <v>0</v>
      </c>
      <c r="I14" s="14">
        <f t="shared" si="0"/>
        <v>0</v>
      </c>
      <c r="J14" s="14">
        <f>499.4204376*E14*F14</f>
        <v>1020016.3017542401</v>
      </c>
      <c r="K14" s="14">
        <f>133.122825888*E14*F14</f>
        <v>271890.0595936512</v>
      </c>
      <c r="L14" s="14">
        <f>104.92026*E14*F14</f>
        <v>214289.139024</v>
      </c>
      <c r="M14" s="14">
        <f t="shared" si="1"/>
        <v>2577641.195491892</v>
      </c>
      <c r="N14" s="18">
        <f>IF(N4&gt;0,(M14/$N$4/12),0)</f>
        <v>8.182987922196482</v>
      </c>
    </row>
    <row r="15" spans="2:14" ht="36">
      <c r="B15" s="9">
        <v>10</v>
      </c>
      <c r="C15" s="7" t="s">
        <v>26</v>
      </c>
      <c r="D15" s="7" t="s">
        <v>27</v>
      </c>
      <c r="E15" s="11">
        <v>4.52</v>
      </c>
      <c r="F15" s="11">
        <v>2</v>
      </c>
      <c r="G15" s="14">
        <f>9888.065*E15*F15</f>
        <v>89388.1076</v>
      </c>
      <c r="H15" s="14">
        <f>1223.21343431*E15*F15</f>
        <v>11057.849446162398</v>
      </c>
      <c r="I15" s="14">
        <f t="shared" si="0"/>
        <v>0</v>
      </c>
      <c r="J15" s="14">
        <f>9413.43788*E15*F15</f>
        <v>85097.47843519998</v>
      </c>
      <c r="K15" s="14">
        <f>2668.2131208603*E15*F15</f>
        <v>24120.64661257711</v>
      </c>
      <c r="L15" s="14">
        <f>1977.613*E15*F15</f>
        <v>17877.62152</v>
      </c>
      <c r="M15" s="14">
        <f t="shared" si="1"/>
        <v>227541.70361393952</v>
      </c>
      <c r="N15" s="18">
        <f>IF(N4&gt;0,(M15/$N$4/12),0)</f>
        <v>0.722354614647427</v>
      </c>
    </row>
    <row r="16" spans="2:14" ht="24">
      <c r="B16" s="9">
        <v>11</v>
      </c>
      <c r="C16" s="7" t="s">
        <v>28</v>
      </c>
      <c r="D16" s="7" t="s">
        <v>16</v>
      </c>
      <c r="E16" s="11">
        <v>26.25</v>
      </c>
      <c r="F16" s="11">
        <v>2</v>
      </c>
      <c r="G16" s="14">
        <f>2244.816*E16*F16</f>
        <v>117852.84</v>
      </c>
      <c r="H16" s="14">
        <f>0*E16*F16</f>
        <v>0</v>
      </c>
      <c r="I16" s="14">
        <f t="shared" si="0"/>
        <v>0</v>
      </c>
      <c r="J16" s="14">
        <f>2137.064832*E16*F16</f>
        <v>112195.90368</v>
      </c>
      <c r="K16" s="14">
        <f>569.64450816*E16*F16</f>
        <v>29906.3366784</v>
      </c>
      <c r="L16" s="14">
        <f>448.9632*E16*F16</f>
        <v>23570.568</v>
      </c>
      <c r="M16" s="14">
        <f t="shared" si="1"/>
        <v>283525.6483584</v>
      </c>
      <c r="N16" s="18">
        <f>IF(N4&gt;0,(M16/$N$4/12),0)</f>
        <v>0.90008142336</v>
      </c>
    </row>
    <row r="17" spans="2:14" ht="72">
      <c r="B17" s="9">
        <v>12</v>
      </c>
      <c r="C17" s="35" t="s">
        <v>179</v>
      </c>
      <c r="D17" s="7" t="s">
        <v>16</v>
      </c>
      <c r="E17" s="11">
        <v>26.25</v>
      </c>
      <c r="F17" s="11">
        <v>2</v>
      </c>
      <c r="G17" s="14">
        <f>2244.816*E17*F17</f>
        <v>117852.84</v>
      </c>
      <c r="H17" s="14">
        <f>0*E17*F17</f>
        <v>0</v>
      </c>
      <c r="I17" s="14">
        <f t="shared" si="0"/>
        <v>0</v>
      </c>
      <c r="J17" s="14">
        <f>2137.064832*E17*F17</f>
        <v>112195.90368</v>
      </c>
      <c r="K17" s="14">
        <f>569.64450816*E17*F17</f>
        <v>29906.3366784</v>
      </c>
      <c r="L17" s="14">
        <f>448.9632*E17*F17</f>
        <v>23570.568</v>
      </c>
      <c r="M17" s="14">
        <f t="shared" si="1"/>
        <v>283525.6483584</v>
      </c>
      <c r="N17" s="18">
        <f>IF(N4&gt;0,(M17/$N$4/12),0)</f>
        <v>0.90008142336</v>
      </c>
    </row>
    <row r="18" spans="2:14" ht="24">
      <c r="B18" s="9">
        <v>13</v>
      </c>
      <c r="C18" s="7" t="s">
        <v>29</v>
      </c>
      <c r="D18" s="7" t="s">
        <v>30</v>
      </c>
      <c r="E18" s="11">
        <v>1</v>
      </c>
      <c r="F18" s="11">
        <v>2</v>
      </c>
      <c r="G18" s="14">
        <f>0.09*E18*F18</f>
        <v>0.18</v>
      </c>
      <c r="H18" s="14">
        <f>0*E18*F18</f>
        <v>0</v>
      </c>
      <c r="I18" s="14">
        <f t="shared" si="0"/>
        <v>0</v>
      </c>
      <c r="J18" s="14">
        <f>0.08568*E18*F18</f>
        <v>0.17136</v>
      </c>
      <c r="K18" s="14">
        <f>0.0228384*E18*F18</f>
        <v>0.0456768</v>
      </c>
      <c r="L18" s="14">
        <f>0.018*E18*F18</f>
        <v>0.036</v>
      </c>
      <c r="M18" s="14">
        <f t="shared" si="1"/>
        <v>0.4330368</v>
      </c>
      <c r="N18" s="18">
        <f>IF(N4&gt;0,(M18/$N$4/12),0)</f>
        <v>1.37472E-06</v>
      </c>
    </row>
    <row r="19" spans="2:14" ht="12">
      <c r="B19" s="9">
        <v>14</v>
      </c>
      <c r="C19" s="7" t="s">
        <v>31</v>
      </c>
      <c r="D19" s="7" t="s">
        <v>32</v>
      </c>
      <c r="E19" s="11">
        <v>10.4</v>
      </c>
      <c r="F19" s="11">
        <v>2</v>
      </c>
      <c r="G19" s="14">
        <f>0.05*E19*F19</f>
        <v>1.04</v>
      </c>
      <c r="H19" s="14">
        <f>616.2387868*E19*F19</f>
        <v>12817.76676544</v>
      </c>
      <c r="I19" s="14">
        <f t="shared" si="0"/>
        <v>0</v>
      </c>
      <c r="J19" s="14">
        <f>0.0476*E19*F19</f>
        <v>0.9900800000000001</v>
      </c>
      <c r="K19" s="14">
        <f>80.123730284*E19*F19</f>
        <v>1666.5735899072001</v>
      </c>
      <c r="L19" s="14">
        <f>0.01*E19*F19</f>
        <v>0.20800000000000002</v>
      </c>
      <c r="M19" s="14">
        <f t="shared" si="1"/>
        <v>14486.5784353472</v>
      </c>
      <c r="N19" s="18">
        <f>IF(N4&gt;0,(M19/$N$4/12),0)</f>
        <v>0.045989137889991115</v>
      </c>
    </row>
    <row r="20" spans="2:14" ht="12">
      <c r="B20" s="9">
        <v>15</v>
      </c>
      <c r="C20" s="7" t="s">
        <v>33</v>
      </c>
      <c r="D20" s="7" t="s">
        <v>34</v>
      </c>
      <c r="E20" s="11">
        <v>0</v>
      </c>
      <c r="F20" s="11">
        <v>2</v>
      </c>
      <c r="G20" s="14">
        <f>0.0025333333*E20*F20</f>
        <v>0</v>
      </c>
      <c r="H20" s="14">
        <f>0*E20*F20</f>
        <v>0</v>
      </c>
      <c r="I20" s="14">
        <f t="shared" si="0"/>
        <v>0</v>
      </c>
      <c r="J20" s="14">
        <f>0.0024117333016*E20*F20</f>
        <v>0</v>
      </c>
      <c r="K20" s="14">
        <f>0.000642858658208*E20*F20</f>
        <v>0</v>
      </c>
      <c r="L20" s="14">
        <f>0.00050666666*E20*F20</f>
        <v>0</v>
      </c>
      <c r="M20" s="14">
        <f t="shared" si="1"/>
        <v>0</v>
      </c>
      <c r="N20" s="18">
        <f>IF(N4&gt;0,(M20/$N$4/12),0)</f>
        <v>0</v>
      </c>
    </row>
    <row r="21" spans="2:14" ht="48">
      <c r="B21" s="9">
        <v>16</v>
      </c>
      <c r="C21" s="35" t="s">
        <v>180</v>
      </c>
      <c r="D21" s="7" t="s">
        <v>16</v>
      </c>
      <c r="E21" s="11">
        <v>26.25</v>
      </c>
      <c r="F21" s="11">
        <v>2</v>
      </c>
      <c r="G21" s="14">
        <f>6029.9*E21*F21</f>
        <v>316569.75</v>
      </c>
      <c r="H21" s="14">
        <f>0*E21*F21</f>
        <v>0</v>
      </c>
      <c r="I21" s="14">
        <f t="shared" si="0"/>
        <v>0</v>
      </c>
      <c r="J21" s="14">
        <f>5740.4648*E21*F21</f>
        <v>301374.402</v>
      </c>
      <c r="K21" s="14">
        <f>1530.147424*E21*F21</f>
        <v>80332.73976</v>
      </c>
      <c r="L21" s="14">
        <f>1205.98*E21*F21</f>
        <v>63313.950000000004</v>
      </c>
      <c r="M21" s="14">
        <f t="shared" si="1"/>
        <v>761590.84176</v>
      </c>
      <c r="N21" s="18">
        <f>IF(N4&gt;0,(M21/$N$4/12),0)</f>
        <v>2.417748704</v>
      </c>
    </row>
    <row r="22" spans="2:14" ht="60">
      <c r="B22" s="9">
        <v>17</v>
      </c>
      <c r="C22" s="35" t="s">
        <v>181</v>
      </c>
      <c r="D22" s="7" t="s">
        <v>35</v>
      </c>
      <c r="E22" s="11">
        <v>6.7</v>
      </c>
      <c r="F22" s="11">
        <v>2</v>
      </c>
      <c r="G22" s="14">
        <f>2411.96*E22*F22</f>
        <v>32320.264000000003</v>
      </c>
      <c r="H22" s="14">
        <f>0*E22*F22</f>
        <v>0</v>
      </c>
      <c r="I22" s="14">
        <f t="shared" si="0"/>
        <v>0</v>
      </c>
      <c r="J22" s="14">
        <f>2296.18592*E22*F22</f>
        <v>30768.891327999998</v>
      </c>
      <c r="K22" s="14">
        <f>612.0589696*E22*F22</f>
        <v>8201.59019264</v>
      </c>
      <c r="L22" s="14">
        <f>482.392*E22*F22</f>
        <v>6464.0528</v>
      </c>
      <c r="M22" s="14">
        <f t="shared" si="1"/>
        <v>77754.79832064001</v>
      </c>
      <c r="N22" s="18">
        <f>IF(N4&gt;0,(M22/$N$4/12),0)</f>
        <v>0.24684062958933337</v>
      </c>
    </row>
    <row r="23" spans="2:14" ht="12">
      <c r="B23" s="9">
        <v>18</v>
      </c>
      <c r="C23" s="7" t="s">
        <v>36</v>
      </c>
      <c r="D23" s="7" t="s">
        <v>37</v>
      </c>
      <c r="E23" s="11">
        <v>8</v>
      </c>
      <c r="F23" s="11">
        <v>2</v>
      </c>
      <c r="G23" s="14">
        <f>2137.92*E23*F23</f>
        <v>34206.72</v>
      </c>
      <c r="H23" s="14">
        <f>0*E23*F23</f>
        <v>0</v>
      </c>
      <c r="I23" s="14">
        <f t="shared" si="0"/>
        <v>0</v>
      </c>
      <c r="J23" s="14">
        <f>2035.29984*E23*F23</f>
        <v>32564.79744</v>
      </c>
      <c r="K23" s="14">
        <f>542.5185792*E23*F23</f>
        <v>8680.2972672</v>
      </c>
      <c r="L23" s="14">
        <f>427.584*E23*F23</f>
        <v>6841.344</v>
      </c>
      <c r="M23" s="14">
        <f t="shared" si="1"/>
        <v>82293.1587072</v>
      </c>
      <c r="N23" s="18">
        <f>IF(N4&gt;0,(M23/$N$4/12),0)</f>
        <v>0.26124812288</v>
      </c>
    </row>
    <row r="24" spans="2:14" ht="24">
      <c r="B24" s="9">
        <v>19</v>
      </c>
      <c r="C24" s="7" t="s">
        <v>38</v>
      </c>
      <c r="D24" s="7" t="s">
        <v>39</v>
      </c>
      <c r="E24" s="11">
        <v>15.1</v>
      </c>
      <c r="F24" s="11">
        <v>1</v>
      </c>
      <c r="G24" s="14">
        <f>0.033*E24*F24</f>
        <v>0.4983</v>
      </c>
      <c r="H24" s="14">
        <f>0*E24*F24</f>
        <v>0</v>
      </c>
      <c r="I24" s="14">
        <f>84.406575*E24*F24</f>
        <v>1274.5392825000001</v>
      </c>
      <c r="J24" s="14">
        <f>0.031416*E24*F24</f>
        <v>0.47438159999999996</v>
      </c>
      <c r="K24" s="14">
        <f>10.98122883*E24*F24</f>
        <v>165.816555333</v>
      </c>
      <c r="L24" s="14">
        <f>0.0066*E24*F24</f>
        <v>0.09966</v>
      </c>
      <c r="M24" s="14">
        <f t="shared" si="1"/>
        <v>1441.4281794330002</v>
      </c>
      <c r="N24" s="18">
        <f>IF(N4&gt;0,(M24/$N$4/12),0)</f>
        <v>0.004575962474390477</v>
      </c>
    </row>
    <row r="25" spans="2:14" ht="24">
      <c r="B25" s="9">
        <v>20</v>
      </c>
      <c r="C25" s="7" t="s">
        <v>40</v>
      </c>
      <c r="D25" s="7" t="s">
        <v>39</v>
      </c>
      <c r="E25" s="11">
        <v>15.1</v>
      </c>
      <c r="F25" s="11">
        <v>1</v>
      </c>
      <c r="G25" s="14">
        <f>0.0309*E25*F25</f>
        <v>0.46659</v>
      </c>
      <c r="H25" s="14">
        <f>7.98527832242*E25*F25</f>
        <v>120.577702668542</v>
      </c>
      <c r="I25" s="14">
        <f>0*E25*F25</f>
        <v>0</v>
      </c>
      <c r="J25" s="14">
        <f>0.0294168*E25*F25</f>
        <v>0.44419368</v>
      </c>
      <c r="K25" s="14">
        <f>1.0459273659146*E25*F25</f>
        <v>15.79350322531046</v>
      </c>
      <c r="L25" s="14">
        <f>0.00618*E25*F25</f>
        <v>0.093318</v>
      </c>
      <c r="M25" s="14">
        <f t="shared" si="1"/>
        <v>137.37530757385247</v>
      </c>
      <c r="N25" s="18">
        <f>IF(N4&gt;0,(M25/$N$4/12),0)</f>
        <v>0.00043611208753603956</v>
      </c>
    </row>
    <row r="26" spans="2:14" ht="24">
      <c r="B26" s="9">
        <v>21</v>
      </c>
      <c r="C26" s="7" t="s">
        <v>41</v>
      </c>
      <c r="D26" s="7" t="s">
        <v>39</v>
      </c>
      <c r="E26" s="11">
        <v>15.1</v>
      </c>
      <c r="F26" s="11">
        <v>1</v>
      </c>
      <c r="G26" s="14">
        <f>0.0129999999*E26*F26</f>
        <v>0.19629999849</v>
      </c>
      <c r="H26" s="14">
        <f>0*E26*F26</f>
        <v>0</v>
      </c>
      <c r="I26" s="14">
        <f>84.406575*E26*F26</f>
        <v>1274.5392825000001</v>
      </c>
      <c r="J26" s="14">
        <f>0.0123759999048*E26*F26</f>
        <v>0.18687759856247999</v>
      </c>
      <c r="K26" s="14">
        <f>10.976153629975*E26*F26</f>
        <v>165.7399198126225</v>
      </c>
      <c r="L26" s="14">
        <f>0.00259999998*E26*F26</f>
        <v>0.039259999698</v>
      </c>
      <c r="M26" s="14">
        <f t="shared" si="1"/>
        <v>1440.7016399093732</v>
      </c>
      <c r="N26" s="18">
        <f>IF(N4&gt;0,(M26/$N$4/12),0)</f>
        <v>0.004573655999712296</v>
      </c>
    </row>
    <row r="27" spans="2:14" ht="24">
      <c r="B27" s="9">
        <v>22</v>
      </c>
      <c r="C27" s="7" t="s">
        <v>42</v>
      </c>
      <c r="D27" s="7" t="s">
        <v>39</v>
      </c>
      <c r="E27" s="11">
        <v>15.1</v>
      </c>
      <c r="F27" s="11">
        <v>1</v>
      </c>
      <c r="G27" s="14">
        <f>0.0012*E27*F27</f>
        <v>0.018119999999999997</v>
      </c>
      <c r="H27" s="14">
        <f>0*E27*F27</f>
        <v>0</v>
      </c>
      <c r="I27" s="14">
        <f aca="true" t="shared" si="3" ref="I27:I34">0*E27*F27</f>
        <v>0</v>
      </c>
      <c r="J27" s="14">
        <f>0.0011424*E27*F27</f>
        <v>0.01725024</v>
      </c>
      <c r="K27" s="14">
        <f>0.000304512*E27*F27</f>
        <v>0.0045981312</v>
      </c>
      <c r="L27" s="14">
        <f>0.00024*E27*F27</f>
        <v>0.003624</v>
      </c>
      <c r="M27" s="14">
        <f t="shared" si="1"/>
        <v>0.0435923712</v>
      </c>
      <c r="N27" s="18">
        <f>IF(N4&gt;0,(M27/$N$4/12),0)</f>
        <v>1.3838848E-07</v>
      </c>
    </row>
    <row r="28" spans="2:14" ht="48">
      <c r="B28" s="9">
        <v>23</v>
      </c>
      <c r="C28" s="35" t="s">
        <v>182</v>
      </c>
      <c r="D28" s="7" t="s">
        <v>43</v>
      </c>
      <c r="E28" s="11">
        <v>10.21</v>
      </c>
      <c r="F28" s="11">
        <v>1</v>
      </c>
      <c r="G28" s="14">
        <f>262.305*E28*F28</f>
        <v>2678.13405</v>
      </c>
      <c r="H28" s="14">
        <f>0*E28*F28</f>
        <v>0</v>
      </c>
      <c r="I28" s="14">
        <f t="shared" si="3"/>
        <v>0</v>
      </c>
      <c r="J28" s="14">
        <f>249.71436*E28*F28</f>
        <v>2549.5836156</v>
      </c>
      <c r="K28" s="14">
        <f>66.5625168*E28*F28</f>
        <v>679.603296528</v>
      </c>
      <c r="L28" s="14">
        <f>52.461*E28*F28</f>
        <v>535.62681</v>
      </c>
      <c r="M28" s="14">
        <f t="shared" si="1"/>
        <v>6442.947772128</v>
      </c>
      <c r="N28" s="18">
        <f>IF(N4&gt;0,(M28/$N$4/12),0)</f>
        <v>0.0204538024512</v>
      </c>
    </row>
    <row r="29" spans="2:14" ht="24">
      <c r="B29" s="9">
        <v>24</v>
      </c>
      <c r="C29" s="7" t="s">
        <v>44</v>
      </c>
      <c r="D29" s="7" t="s">
        <v>45</v>
      </c>
      <c r="E29" s="11">
        <v>1.7</v>
      </c>
      <c r="F29" s="11">
        <v>1</v>
      </c>
      <c r="G29" s="14">
        <f>0.72*E29*F29</f>
        <v>1.224</v>
      </c>
      <c r="H29" s="14">
        <f>635.612119961*E29*F29</f>
        <v>1080.5406039337</v>
      </c>
      <c r="I29" s="14">
        <f t="shared" si="3"/>
        <v>0</v>
      </c>
      <c r="J29" s="14">
        <f>0.68544*E29*F29</f>
        <v>1.165248</v>
      </c>
      <c r="K29" s="14">
        <f>82.81228279493*E29*F29</f>
        <v>140.780880751381</v>
      </c>
      <c r="L29" s="14">
        <f>0.144*E29*F29</f>
        <v>0.24479999999999996</v>
      </c>
      <c r="M29" s="14">
        <f t="shared" si="1"/>
        <v>1223.955532685081</v>
      </c>
      <c r="N29" s="18">
        <f>IF(N4&gt;0,(M29/$N$4/12),0)</f>
        <v>0.003885573119635178</v>
      </c>
    </row>
    <row r="30" spans="2:14" ht="24">
      <c r="B30" s="9">
        <v>25</v>
      </c>
      <c r="C30" s="7" t="s">
        <v>46</v>
      </c>
      <c r="D30" s="7" t="s">
        <v>47</v>
      </c>
      <c r="E30" s="11">
        <v>0.56</v>
      </c>
      <c r="F30" s="11">
        <v>1</v>
      </c>
      <c r="G30" s="14">
        <f>0.39*E30*F30</f>
        <v>0.21840000000000004</v>
      </c>
      <c r="H30" s="14">
        <f>455.047474245*E30*F30</f>
        <v>254.8265855772</v>
      </c>
      <c r="I30" s="14">
        <f t="shared" si="3"/>
        <v>0</v>
      </c>
      <c r="J30" s="14">
        <f>0.37128*E30*F30</f>
        <v>0.2079168</v>
      </c>
      <c r="K30" s="14">
        <f>59.25513805185*E30*F30</f>
        <v>33.182877309036</v>
      </c>
      <c r="L30" s="14">
        <f>0.078*E30*F30</f>
        <v>0.043680000000000004</v>
      </c>
      <c r="M30" s="14">
        <f t="shared" si="1"/>
        <v>288.479459686236</v>
      </c>
      <c r="N30" s="18">
        <f>IF(N4&gt;0,(M30/$N$4/12),0)</f>
        <v>0.0009158078085277333</v>
      </c>
    </row>
    <row r="31" spans="2:14" ht="24">
      <c r="B31" s="9">
        <v>26</v>
      </c>
      <c r="C31" s="7" t="s">
        <v>48</v>
      </c>
      <c r="D31" s="7" t="s">
        <v>49</v>
      </c>
      <c r="E31" s="11">
        <v>2</v>
      </c>
      <c r="F31" s="11">
        <v>1</v>
      </c>
      <c r="G31" s="14">
        <f>0.56*E31*F31</f>
        <v>1.12</v>
      </c>
      <c r="H31" s="14">
        <f>0*E31*F31</f>
        <v>0</v>
      </c>
      <c r="I31" s="14">
        <f t="shared" si="3"/>
        <v>0</v>
      </c>
      <c r="J31" s="14">
        <f>0.53312*E31*F31</f>
        <v>1.06624</v>
      </c>
      <c r="K31" s="14">
        <f>0.1421056*E31*F31</f>
        <v>0.2842112</v>
      </c>
      <c r="L31" s="14">
        <f>0.112*E31*F31</f>
        <v>0.224</v>
      </c>
      <c r="M31" s="14">
        <f t="shared" si="1"/>
        <v>2.6944512000000005</v>
      </c>
      <c r="N31" s="18">
        <f>IF(N4&gt;0,(M31/$N$4/12),0)</f>
        <v>8.553813333333335E-06</v>
      </c>
    </row>
    <row r="32" spans="2:14" ht="84">
      <c r="B32" s="9">
        <v>27</v>
      </c>
      <c r="C32" s="35" t="s">
        <v>183</v>
      </c>
      <c r="D32" s="7" t="s">
        <v>50</v>
      </c>
      <c r="E32" s="11">
        <v>18.8</v>
      </c>
      <c r="F32" s="11">
        <v>12</v>
      </c>
      <c r="G32" s="14">
        <f>2387.8998*E32*F32</f>
        <v>538710.1948800001</v>
      </c>
      <c r="H32" s="14">
        <f>0*E32*F32</f>
        <v>0</v>
      </c>
      <c r="I32" s="14">
        <f t="shared" si="3"/>
        <v>0</v>
      </c>
      <c r="J32" s="14">
        <f>2273.2806096*E32*F32</f>
        <v>512852.10552576</v>
      </c>
      <c r="K32" s="14">
        <f>605.953453248*E32*F32</f>
        <v>136703.09905274882</v>
      </c>
      <c r="L32" s="14">
        <f>477.57996*E32*F32</f>
        <v>107742.03897600001</v>
      </c>
      <c r="M32" s="14">
        <f t="shared" si="1"/>
        <v>1296007.4384345089</v>
      </c>
      <c r="N32" s="18">
        <f>IF(N4&gt;0,(M32/$N$4/12),0)</f>
        <v>4.11430932836352</v>
      </c>
    </row>
    <row r="33" spans="2:14" ht="84">
      <c r="B33" s="9">
        <v>28</v>
      </c>
      <c r="C33" s="7" t="s">
        <v>51</v>
      </c>
      <c r="D33" s="7" t="s">
        <v>50</v>
      </c>
      <c r="E33" s="11">
        <v>0</v>
      </c>
      <c r="F33" s="11">
        <v>12</v>
      </c>
      <c r="G33" s="14">
        <f>2508.5038*E33*F33</f>
        <v>0</v>
      </c>
      <c r="H33" s="14">
        <f>0*E33*F33</f>
        <v>0</v>
      </c>
      <c r="I33" s="14">
        <f t="shared" si="3"/>
        <v>0</v>
      </c>
      <c r="J33" s="14">
        <f>2388.0956176*E33*F33</f>
        <v>0</v>
      </c>
      <c r="K33" s="14">
        <f>636.557924288*E33*F33</f>
        <v>0</v>
      </c>
      <c r="L33" s="14">
        <f>501.70076*E33*F33</f>
        <v>0</v>
      </c>
      <c r="M33" s="14">
        <f t="shared" si="1"/>
        <v>0</v>
      </c>
      <c r="N33" s="18">
        <f>IF(N4&gt;0,(M33/$N$4/12),0)</f>
        <v>0</v>
      </c>
    </row>
    <row r="34" spans="2:14" ht="84">
      <c r="B34" s="9">
        <v>29</v>
      </c>
      <c r="C34" s="7" t="s">
        <v>52</v>
      </c>
      <c r="D34" s="7" t="s">
        <v>50</v>
      </c>
      <c r="E34" s="11">
        <v>0</v>
      </c>
      <c r="F34" s="11">
        <v>0</v>
      </c>
      <c r="G34" s="14">
        <f>2749.7058*E34*F34</f>
        <v>0</v>
      </c>
      <c r="H34" s="14">
        <f>0*E34*F34</f>
        <v>0</v>
      </c>
      <c r="I34" s="14">
        <f t="shared" si="3"/>
        <v>0</v>
      </c>
      <c r="J34" s="14">
        <f>2617.7199216*E34*F34</f>
        <v>0</v>
      </c>
      <c r="K34" s="14">
        <f>697.765343808*E34*F34</f>
        <v>0</v>
      </c>
      <c r="L34" s="14">
        <f>549.94116*E34*F34</f>
        <v>0</v>
      </c>
      <c r="M34" s="14">
        <f t="shared" si="1"/>
        <v>0</v>
      </c>
      <c r="N34" s="18">
        <f>IF(N4&gt;0,(M34/$N$4/12),0)</f>
        <v>0</v>
      </c>
    </row>
    <row r="35" spans="2:14" ht="19.5" customHeight="1">
      <c r="B35" s="47" t="s">
        <v>53</v>
      </c>
      <c r="C35" s="48"/>
      <c r="D35" s="48"/>
      <c r="E35" s="48"/>
      <c r="F35" s="48"/>
      <c r="G35" s="15">
        <f aca="true" t="shared" si="4" ref="G35:N35">SUM(G6:G34)</f>
        <v>2528712.9233899987</v>
      </c>
      <c r="H35" s="15">
        <f t="shared" si="4"/>
        <v>241180.67408740838</v>
      </c>
      <c r="I35" s="15">
        <f t="shared" si="4"/>
        <v>2549.0785650000003</v>
      </c>
      <c r="J35" s="15">
        <f t="shared" si="4"/>
        <v>2407334.7030672785</v>
      </c>
      <c r="K35" s="15">
        <f t="shared" si="4"/>
        <v>673371.0592842591</v>
      </c>
      <c r="L35" s="15">
        <f t="shared" si="4"/>
        <v>505742.5846779996</v>
      </c>
      <c r="M35" s="15">
        <f t="shared" si="4"/>
        <v>6358891.023071944</v>
      </c>
      <c r="N35" s="19">
        <f t="shared" si="4"/>
        <v>20.18695562879983</v>
      </c>
    </row>
    <row r="36" spans="2:14" ht="21.75" customHeight="1">
      <c r="B36" s="43" t="s">
        <v>54</v>
      </c>
      <c r="C36" s="44"/>
      <c r="D36" s="44"/>
      <c r="E36" s="44"/>
      <c r="F36" s="44"/>
      <c r="G36" s="45"/>
      <c r="H36" s="45"/>
      <c r="I36" s="45"/>
      <c r="J36" s="45"/>
      <c r="K36" s="45"/>
      <c r="L36" s="45"/>
      <c r="M36" s="45"/>
      <c r="N36" s="46"/>
    </row>
    <row r="37" spans="2:14" ht="60">
      <c r="B37" s="8">
        <v>30</v>
      </c>
      <c r="C37" s="36" t="s">
        <v>184</v>
      </c>
      <c r="D37" s="6" t="s">
        <v>55</v>
      </c>
      <c r="E37" s="10">
        <v>14.98</v>
      </c>
      <c r="F37" s="10">
        <v>247</v>
      </c>
      <c r="G37" s="13">
        <f>480.65751*E37*F37</f>
        <v>1778461.6264506</v>
      </c>
      <c r="H37" s="13">
        <f>0.805722939*E37*F37</f>
        <v>2981.22321767634</v>
      </c>
      <c r="I37" s="13">
        <f aca="true" t="shared" si="5" ref="I37:I53">0*E37*F37</f>
        <v>0</v>
      </c>
      <c r="J37" s="13">
        <f>457.58594952*E37*F37</f>
        <v>1693095.468380971</v>
      </c>
      <c r="K37" s="13">
        <f>122.07639371967*E37*F37</f>
        <v>451689.98134640214</v>
      </c>
      <c r="L37" s="13">
        <f>96.131502*E37*F37</f>
        <v>355692.32529012</v>
      </c>
      <c r="M37" s="13">
        <f aca="true" t="shared" si="6" ref="M37:M61">SUM(G37:L37)</f>
        <v>4281920.62468577</v>
      </c>
      <c r="N37" s="17">
        <f>IF(N4&gt;0,(M37/$N$4/12),0)</f>
        <v>13.593398808526253</v>
      </c>
    </row>
    <row r="38" spans="2:14" ht="48">
      <c r="B38" s="9">
        <v>31</v>
      </c>
      <c r="C38" s="35" t="s">
        <v>185</v>
      </c>
      <c r="D38" s="7" t="s">
        <v>56</v>
      </c>
      <c r="E38" s="11">
        <v>14.98</v>
      </c>
      <c r="F38" s="11">
        <v>24</v>
      </c>
      <c r="G38" s="14">
        <f>1100.1825*E38*F38</f>
        <v>395537.6124</v>
      </c>
      <c r="H38" s="14">
        <f>124.8450601356*E38*F38</f>
        <v>44884.29601995091</v>
      </c>
      <c r="I38" s="14">
        <f t="shared" si="5"/>
        <v>0</v>
      </c>
      <c r="J38" s="14">
        <f>1047.37374*E38*F38</f>
        <v>376551.8070048</v>
      </c>
      <c r="K38" s="14">
        <f>295.41216901763*E38*F38</f>
        <v>106206.58300521834</v>
      </c>
      <c r="L38" s="14">
        <f>220.0365*E38*F38</f>
        <v>79107.52248</v>
      </c>
      <c r="M38" s="14">
        <f t="shared" si="6"/>
        <v>1002287.8209099693</v>
      </c>
      <c r="N38" s="18">
        <f>IF(N4&gt;0,(M38/$N$4/12),0)</f>
        <v>3.181866098126887</v>
      </c>
    </row>
    <row r="39" spans="2:14" ht="24">
      <c r="B39" s="9">
        <v>32</v>
      </c>
      <c r="C39" s="7" t="s">
        <v>57</v>
      </c>
      <c r="D39" s="7" t="s">
        <v>58</v>
      </c>
      <c r="E39" s="11">
        <v>1</v>
      </c>
      <c r="F39" s="11">
        <v>1</v>
      </c>
      <c r="G39" s="14">
        <f>440.073*E39*F39</f>
        <v>440.073</v>
      </c>
      <c r="H39" s="14">
        <f>4.095819257656*E39*F39</f>
        <v>4.095819257656</v>
      </c>
      <c r="I39" s="14">
        <f t="shared" si="5"/>
        <v>0</v>
      </c>
      <c r="J39" s="14">
        <f>418.949496*E39*F39</f>
        <v>418.949496</v>
      </c>
      <c r="K39" s="14">
        <f>112.2053809835*E39*F39</f>
        <v>112.2053809835</v>
      </c>
      <c r="L39" s="14">
        <f>88.0146*E39*F39</f>
        <v>88.0146</v>
      </c>
      <c r="M39" s="14">
        <f t="shared" si="6"/>
        <v>1063.338296241156</v>
      </c>
      <c r="N39" s="18">
        <f>IF(N4&gt;0,(M39/$N$4/12),0)</f>
        <v>0.003375677130924305</v>
      </c>
    </row>
    <row r="40" spans="2:14" ht="24">
      <c r="B40" s="9">
        <v>33</v>
      </c>
      <c r="C40" s="7" t="s">
        <v>59</v>
      </c>
      <c r="D40" s="7" t="s">
        <v>60</v>
      </c>
      <c r="E40" s="11">
        <v>10.58</v>
      </c>
      <c r="F40" s="11">
        <v>2</v>
      </c>
      <c r="G40" s="14">
        <f>1108.3320016299*E40*F40</f>
        <v>23452.305154488688</v>
      </c>
      <c r="H40" s="14">
        <f>51.381991346762*E40*F40</f>
        <v>1087.242936897484</v>
      </c>
      <c r="I40" s="14">
        <f t="shared" si="5"/>
        <v>0</v>
      </c>
      <c r="J40" s="14">
        <f>1055.1320655517*E40*F40</f>
        <v>22326.594507073973</v>
      </c>
      <c r="K40" s="14">
        <f>287.92998760868*E40*F40</f>
        <v>6092.5985377996685</v>
      </c>
      <c r="L40" s="14">
        <f>221.66640032598*E40*F40</f>
        <v>4690.461030897736</v>
      </c>
      <c r="M40" s="14">
        <f t="shared" si="6"/>
        <v>57649.20216715755</v>
      </c>
      <c r="N40" s="18">
        <f>IF(N4&gt;0,(M40/$N$4/12),0)</f>
        <v>0.18301334021319857</v>
      </c>
    </row>
    <row r="41" spans="2:14" ht="24">
      <c r="B41" s="9">
        <v>34</v>
      </c>
      <c r="C41" s="7" t="s">
        <v>61</v>
      </c>
      <c r="D41" s="7" t="s">
        <v>62</v>
      </c>
      <c r="E41" s="11">
        <v>29.91</v>
      </c>
      <c r="F41" s="11">
        <v>2</v>
      </c>
      <c r="G41" s="14">
        <f>1116.4814983701*E41*F41</f>
        <v>66787.9232324994</v>
      </c>
      <c r="H41" s="14">
        <f>33.253772536824*E41*F41</f>
        <v>1989.2406731528117</v>
      </c>
      <c r="I41" s="14">
        <f t="shared" si="5"/>
        <v>0</v>
      </c>
      <c r="J41" s="14">
        <f>1062.8903864483*E41*F41</f>
        <v>63582.1029173373</v>
      </c>
      <c r="K41" s="14">
        <f>287.64133545618*E41*F41</f>
        <v>17206.704686988687</v>
      </c>
      <c r="L41" s="14">
        <f>223.29629967402*E41*F41</f>
        <v>13357.584646499876</v>
      </c>
      <c r="M41" s="14">
        <f t="shared" si="6"/>
        <v>162923.55615647807</v>
      </c>
      <c r="N41" s="18">
        <f>IF(N4&gt;0,(M41/$N$4/12),0)</f>
        <v>0.5172176385919939</v>
      </c>
    </row>
    <row r="42" spans="2:14" ht="24">
      <c r="B42" s="9">
        <v>35</v>
      </c>
      <c r="C42" s="7" t="s">
        <v>63</v>
      </c>
      <c r="D42" s="7" t="s">
        <v>64</v>
      </c>
      <c r="E42" s="11">
        <v>0</v>
      </c>
      <c r="F42" s="11">
        <v>2</v>
      </c>
      <c r="G42" s="14">
        <f>1067.5844983701*E42*F42</f>
        <v>0</v>
      </c>
      <c r="H42" s="14">
        <f>33.237487894621*E42*F42</f>
        <v>0</v>
      </c>
      <c r="I42" s="14">
        <f t="shared" si="5"/>
        <v>0</v>
      </c>
      <c r="J42" s="14">
        <f>1016.3404424483*E42*F42</f>
        <v>0</v>
      </c>
      <c r="K42" s="14">
        <f>275.2311157327*E42*F42</f>
        <v>0</v>
      </c>
      <c r="L42" s="14">
        <f>213.51689967402*E42*F42</f>
        <v>0</v>
      </c>
      <c r="M42" s="14">
        <f t="shared" si="6"/>
        <v>0</v>
      </c>
      <c r="N42" s="18">
        <f>IF(N4&gt;0,(M42/$N$4/12),0)</f>
        <v>0</v>
      </c>
    </row>
    <row r="43" spans="2:14" ht="24">
      <c r="B43" s="9">
        <v>36</v>
      </c>
      <c r="C43" s="7" t="s">
        <v>65</v>
      </c>
      <c r="D43" s="7" t="s">
        <v>66</v>
      </c>
      <c r="E43" s="11">
        <v>1.9</v>
      </c>
      <c r="F43" s="11">
        <v>1</v>
      </c>
      <c r="G43" s="14">
        <f>0.0335*E43*F43</f>
        <v>0.06365</v>
      </c>
      <c r="H43" s="14">
        <f>50.297095916325*E43*F43</f>
        <v>95.56448224101749</v>
      </c>
      <c r="I43" s="14">
        <f t="shared" si="5"/>
        <v>0</v>
      </c>
      <c r="J43" s="14">
        <f>0.031892*E43*F43</f>
        <v>0.06059479999999999</v>
      </c>
      <c r="K43" s="14">
        <f>6.5471234291223*E43*F43</f>
        <v>12.43953451533237</v>
      </c>
      <c r="L43" s="14">
        <f>0.0067*E43*F43</f>
        <v>0.01273</v>
      </c>
      <c r="M43" s="14">
        <f t="shared" si="6"/>
        <v>108.14099155634986</v>
      </c>
      <c r="N43" s="18">
        <f>IF(N4&gt;0,(M43/$N$4/12),0)</f>
        <v>0.00034330473509952336</v>
      </c>
    </row>
    <row r="44" spans="2:14" ht="24">
      <c r="B44" s="9">
        <v>37</v>
      </c>
      <c r="C44" s="7" t="s">
        <v>67</v>
      </c>
      <c r="D44" s="7" t="s">
        <v>66</v>
      </c>
      <c r="E44" s="11">
        <v>1.9</v>
      </c>
      <c r="F44" s="11">
        <v>1</v>
      </c>
      <c r="G44" s="14">
        <f>0.0441666667*E44*F44</f>
        <v>0.08391666673</v>
      </c>
      <c r="H44" s="14">
        <f>33.906238003077*E44*F44</f>
        <v>64.42185220584629</v>
      </c>
      <c r="I44" s="14">
        <f t="shared" si="5"/>
        <v>0</v>
      </c>
      <c r="J44" s="14">
        <f>0.0420466666984*E44*F44</f>
        <v>0.07988866672696</v>
      </c>
      <c r="K44" s="14">
        <f>4.4190186737419*E44*F44</f>
        <v>8.39613548010961</v>
      </c>
      <c r="L44" s="14">
        <f>0.00883333334*E44*F44</f>
        <v>0.016783333345999997</v>
      </c>
      <c r="M44" s="14">
        <f t="shared" si="6"/>
        <v>72.99857635275886</v>
      </c>
      <c r="N44" s="18">
        <f>IF(N4&gt;0,(M44/$N$4/12),0)</f>
        <v>0.00023174151223098052</v>
      </c>
    </row>
    <row r="45" spans="2:14" ht="36">
      <c r="B45" s="9">
        <v>38</v>
      </c>
      <c r="C45" s="35" t="s">
        <v>186</v>
      </c>
      <c r="D45" s="7" t="s">
        <v>68</v>
      </c>
      <c r="E45" s="11">
        <v>0.18</v>
      </c>
      <c r="F45" s="11">
        <v>1</v>
      </c>
      <c r="G45" s="14">
        <f>523.1979*E45*F45</f>
        <v>94.175622</v>
      </c>
      <c r="H45" s="14">
        <f>98.8521695*E45*F45</f>
        <v>17.79339051</v>
      </c>
      <c r="I45" s="14">
        <f t="shared" si="5"/>
        <v>0</v>
      </c>
      <c r="J45" s="14">
        <f>498.0844008*E45*F45</f>
        <v>89.655192144</v>
      </c>
      <c r="K45" s="14">
        <f>145.617481139*E45*F45</f>
        <v>26.21114660502</v>
      </c>
      <c r="L45" s="14">
        <f>104.63958*E45*F45</f>
        <v>18.835124399999998</v>
      </c>
      <c r="M45" s="14">
        <f t="shared" si="6"/>
        <v>246.67047565901998</v>
      </c>
      <c r="N45" s="18">
        <f>IF(N4&gt;0,(M45/$N$4/12),0)</f>
        <v>0.0007830808751079999</v>
      </c>
    </row>
    <row r="46" spans="2:14" ht="60">
      <c r="B46" s="9">
        <v>39</v>
      </c>
      <c r="C46" s="7" t="s">
        <v>69</v>
      </c>
      <c r="D46" s="7" t="s">
        <v>70</v>
      </c>
      <c r="E46" s="11">
        <v>0</v>
      </c>
      <c r="F46" s="11">
        <v>1</v>
      </c>
      <c r="G46" s="14">
        <f>660.1095*E46*F46</f>
        <v>0</v>
      </c>
      <c r="H46" s="14">
        <f>98.8521695*E46*F46</f>
        <v>0</v>
      </c>
      <c r="I46" s="14">
        <f t="shared" si="5"/>
        <v>0</v>
      </c>
      <c r="J46" s="14">
        <f>628.424244*E46*F46</f>
        <v>0</v>
      </c>
      <c r="K46" s="14">
        <f>180.360168755*E46*F46</f>
        <v>0</v>
      </c>
      <c r="L46" s="14">
        <f>132.0219*E46*F46</f>
        <v>0</v>
      </c>
      <c r="M46" s="14">
        <f t="shared" si="6"/>
        <v>0</v>
      </c>
      <c r="N46" s="18">
        <f>IF(N4&gt;0,(M46/$N$4/12),0)</f>
        <v>0</v>
      </c>
    </row>
    <row r="47" spans="2:14" ht="36">
      <c r="B47" s="9">
        <v>40</v>
      </c>
      <c r="C47" s="35" t="s">
        <v>187</v>
      </c>
      <c r="D47" s="7" t="s">
        <v>71</v>
      </c>
      <c r="E47" s="11">
        <v>8.3</v>
      </c>
      <c r="F47" s="11">
        <v>1</v>
      </c>
      <c r="G47" s="14">
        <f>889.9254*E47*F47</f>
        <v>7386.38082</v>
      </c>
      <c r="H47" s="14">
        <f>98.8521695*E47*F47</f>
        <v>820.47300685</v>
      </c>
      <c r="I47" s="14">
        <f t="shared" si="5"/>
        <v>0</v>
      </c>
      <c r="J47" s="14">
        <f>847.2089808*E47*F47</f>
        <v>7031.83454064</v>
      </c>
      <c r="K47" s="14">
        <f>238.678251539*E47*F47</f>
        <v>1981.0294877737</v>
      </c>
      <c r="L47" s="14">
        <f>177.98508*E47*F47</f>
        <v>1477.276164</v>
      </c>
      <c r="M47" s="14">
        <f t="shared" si="6"/>
        <v>18696.9940192637</v>
      </c>
      <c r="N47" s="18">
        <f>IF(N4&gt;0,(M47/$N$4/12),0)</f>
        <v>0.059355536569091115</v>
      </c>
    </row>
    <row r="48" spans="2:14" ht="12">
      <c r="B48" s="9">
        <v>41</v>
      </c>
      <c r="C48" s="7" t="s">
        <v>72</v>
      </c>
      <c r="D48" s="7" t="s">
        <v>73</v>
      </c>
      <c r="E48" s="11">
        <v>11.92</v>
      </c>
      <c r="F48" s="11">
        <v>1</v>
      </c>
      <c r="G48" s="14">
        <f>741.571902*E48*F48</f>
        <v>8839.53707184</v>
      </c>
      <c r="H48" s="14">
        <f>98.8521695*E48*F48</f>
        <v>1178.31786044</v>
      </c>
      <c r="I48" s="14">
        <f t="shared" si="5"/>
        <v>0</v>
      </c>
      <c r="J48" s="14">
        <f>705.976450704*E48*F48</f>
        <v>8415.23929239168</v>
      </c>
      <c r="K48" s="14">
        <f>201.03206788652*E48*F48</f>
        <v>2396.3022492073183</v>
      </c>
      <c r="L48" s="14">
        <f>148.3143804*E48*F48</f>
        <v>1767.907414368</v>
      </c>
      <c r="M48" s="14">
        <f t="shared" si="6"/>
        <v>22597.303888247</v>
      </c>
      <c r="N48" s="18">
        <f>IF(N4&gt;0,(M48/$N$4/12),0)</f>
        <v>0.07173747266110159</v>
      </c>
    </row>
    <row r="49" spans="2:14" ht="36">
      <c r="B49" s="9">
        <v>42</v>
      </c>
      <c r="C49" s="7" t="s">
        <v>74</v>
      </c>
      <c r="D49" s="7" t="s">
        <v>75</v>
      </c>
      <c r="E49" s="11">
        <v>0.15</v>
      </c>
      <c r="F49" s="11">
        <v>1</v>
      </c>
      <c r="G49" s="14">
        <f>1393.5645*E49*F49</f>
        <v>209.034675</v>
      </c>
      <c r="H49" s="14">
        <f>98.8521695*E49*F49</f>
        <v>14.827825425</v>
      </c>
      <c r="I49" s="14">
        <f t="shared" si="5"/>
        <v>0</v>
      </c>
      <c r="J49" s="14">
        <f>1326.673404*E49*F49</f>
        <v>199.00101059999997</v>
      </c>
      <c r="K49" s="14">
        <f>366.481709555*E49*F49</f>
        <v>54.97225643325</v>
      </c>
      <c r="L49" s="14">
        <f>278.7129*E49*F49</f>
        <v>41.806934999999996</v>
      </c>
      <c r="M49" s="14">
        <f t="shared" si="6"/>
        <v>519.6427024582499</v>
      </c>
      <c r="N49" s="18">
        <f>IF(N4&gt;0,(M49/$N$4/12),0)</f>
        <v>0.001649659372883333</v>
      </c>
    </row>
    <row r="50" spans="2:14" ht="36">
      <c r="B50" s="9">
        <v>43</v>
      </c>
      <c r="C50" s="35" t="s">
        <v>188</v>
      </c>
      <c r="D50" s="7" t="s">
        <v>76</v>
      </c>
      <c r="E50" s="11">
        <v>8.09</v>
      </c>
      <c r="F50" s="11">
        <v>1</v>
      </c>
      <c r="G50" s="14">
        <f>513.4185*E50*F50</f>
        <v>4153.555665</v>
      </c>
      <c r="H50" s="14">
        <f>5.5543131*E50*F50</f>
        <v>44.934392979</v>
      </c>
      <c r="I50" s="14">
        <f t="shared" si="5"/>
        <v>0</v>
      </c>
      <c r="J50" s="14">
        <f>488.774412*E50*F50</f>
        <v>3954.18499308</v>
      </c>
      <c r="K50" s="14">
        <f>131.007139263*E50*F50</f>
        <v>1059.84775663767</v>
      </c>
      <c r="L50" s="14">
        <f>102.6837*E50*F50</f>
        <v>830.711133</v>
      </c>
      <c r="M50" s="14">
        <f t="shared" si="6"/>
        <v>10043.233940696671</v>
      </c>
      <c r="N50" s="18">
        <f>IF(N4&gt;0,(M50/$N$4/12),0)</f>
        <v>0.031883282351418005</v>
      </c>
    </row>
    <row r="51" spans="2:14" ht="48">
      <c r="B51" s="9">
        <v>44</v>
      </c>
      <c r="C51" s="35" t="s">
        <v>189</v>
      </c>
      <c r="D51" s="7" t="s">
        <v>77</v>
      </c>
      <c r="E51" s="11">
        <v>0.84</v>
      </c>
      <c r="F51" s="11">
        <v>1</v>
      </c>
      <c r="G51" s="14">
        <f>599.108475*E51*F51</f>
        <v>503.25111899999996</v>
      </c>
      <c r="H51" s="14">
        <f>6.1913312384*E51*F51</f>
        <v>5.200718240256</v>
      </c>
      <c r="I51" s="14">
        <f t="shared" si="5"/>
        <v>0</v>
      </c>
      <c r="J51" s="14">
        <f>570.3512682*E51*F51</f>
        <v>479.095065288</v>
      </c>
      <c r="K51" s="14">
        <f>152.83463967699*E51*F51</f>
        <v>128.38109732867161</v>
      </c>
      <c r="L51" s="14">
        <f>119.821695*E51*F51</f>
        <v>100.6502238</v>
      </c>
      <c r="M51" s="14">
        <f t="shared" si="6"/>
        <v>1216.5782236569275</v>
      </c>
      <c r="N51" s="18">
        <f>IF(N4&gt;0,(M51/$N$4/12),0)</f>
        <v>0.0038621530909743735</v>
      </c>
    </row>
    <row r="52" spans="2:14" ht="24">
      <c r="B52" s="9">
        <v>45</v>
      </c>
      <c r="C52" s="7" t="s">
        <v>78</v>
      </c>
      <c r="D52" s="7" t="s">
        <v>79</v>
      </c>
      <c r="E52" s="11">
        <v>0.031</v>
      </c>
      <c r="F52" s="11">
        <v>2</v>
      </c>
      <c r="G52" s="14">
        <f>525535.251525*E52*F52</f>
        <v>32583.18559455</v>
      </c>
      <c r="H52" s="14">
        <f>1184.2367656448*E52*F52</f>
        <v>73.4226794699776</v>
      </c>
      <c r="I52" s="14">
        <f t="shared" si="5"/>
        <v>0</v>
      </c>
      <c r="J52" s="14">
        <f>500309.5594518*E52*F52</f>
        <v>31019.1926860116</v>
      </c>
      <c r="K52" s="14">
        <f>133513.77620652*E52*F52</f>
        <v>8277.85412480424</v>
      </c>
      <c r="L52" s="14">
        <f>105107.050305*E52*F52</f>
        <v>6516.63711891</v>
      </c>
      <c r="M52" s="14">
        <f t="shared" si="6"/>
        <v>78470.29220374582</v>
      </c>
      <c r="N52" s="18">
        <f>IF(N4&gt;0,(M52/$N$4/12),0)</f>
        <v>0.24911203874205023</v>
      </c>
    </row>
    <row r="53" spans="2:14" ht="24">
      <c r="B53" s="9">
        <v>46</v>
      </c>
      <c r="C53" s="35" t="s">
        <v>190</v>
      </c>
      <c r="D53" s="7" t="s">
        <v>80</v>
      </c>
      <c r="E53" s="11">
        <v>0.031</v>
      </c>
      <c r="F53" s="11">
        <v>80</v>
      </c>
      <c r="G53" s="14">
        <f>57807.210975*E53*F53</f>
        <v>143361.883218</v>
      </c>
      <c r="H53" s="14">
        <f>129.470385408*E53*F53</f>
        <v>321.08655581184</v>
      </c>
      <c r="I53" s="14">
        <f t="shared" si="5"/>
        <v>0</v>
      </c>
      <c r="J53" s="14">
        <f>55032.4648482*E53*F53</f>
        <v>136480.512823536</v>
      </c>
      <c r="K53" s="14">
        <f>14685.989007119*E53*F53</f>
        <v>36421.25273765512</v>
      </c>
      <c r="L53" s="14">
        <f>11561.442195*E53*F53</f>
        <v>28672.3766436</v>
      </c>
      <c r="M53" s="14">
        <f t="shared" si="6"/>
        <v>345257.11197860294</v>
      </c>
      <c r="N53" s="18">
        <f>IF(N4&gt;0,(M53/$N$4/12),0)</f>
        <v>1.0960543237415965</v>
      </c>
    </row>
    <row r="54" spans="2:14" ht="12">
      <c r="B54" s="9">
        <v>47</v>
      </c>
      <c r="C54" s="35" t="s">
        <v>191</v>
      </c>
      <c r="D54" s="7" t="s">
        <v>81</v>
      </c>
      <c r="E54" s="11">
        <v>30.52</v>
      </c>
      <c r="F54" s="11">
        <v>1</v>
      </c>
      <c r="G54" s="14">
        <f>0.0098*E54*F54</f>
        <v>0.299096</v>
      </c>
      <c r="H54" s="14">
        <f>108.2072700576*E54*F54</f>
        <v>3302.485882157952</v>
      </c>
      <c r="I54" s="14">
        <f>70.394775*E54*F54</f>
        <v>2148.4485329999998</v>
      </c>
      <c r="J54" s="14">
        <f>0.0093296*E54*F54</f>
        <v>0.28473939200000004</v>
      </c>
      <c r="K54" s="14">
        <f>23.220752705488*E54*F54</f>
        <v>708.6973725714937</v>
      </c>
      <c r="L54" s="14">
        <f>0.00196*E54*F54</f>
        <v>0.059819199999999996</v>
      </c>
      <c r="M54" s="14">
        <f t="shared" si="6"/>
        <v>6160.275442321446</v>
      </c>
      <c r="N54" s="18">
        <f>IF(N4&gt;0,(M54/$N$4/12),0)</f>
        <v>0.019556429975623638</v>
      </c>
    </row>
    <row r="55" spans="2:14" ht="60">
      <c r="B55" s="9">
        <v>48</v>
      </c>
      <c r="C55" s="35" t="s">
        <v>192</v>
      </c>
      <c r="D55" s="7" t="s">
        <v>82</v>
      </c>
      <c r="E55" s="11">
        <v>0.084</v>
      </c>
      <c r="F55" s="11">
        <v>1</v>
      </c>
      <c r="G55" s="14">
        <f>45798.014025*E55*F55</f>
        <v>3847.0331781</v>
      </c>
      <c r="H55" s="14">
        <f>304.9023712*E55*F55</f>
        <v>25.611799180800002</v>
      </c>
      <c r="I55" s="14">
        <f aca="true" t="shared" si="7" ref="I55:I61">0*E55*F55</f>
        <v>0</v>
      </c>
      <c r="J55" s="14">
        <f>43599.7093518*E55*F55</f>
        <v>3662.3755855512</v>
      </c>
      <c r="K55" s="14">
        <f>11661.34134724*E55*F55</f>
        <v>979.5526731681601</v>
      </c>
      <c r="L55" s="14">
        <f>9159.602805*E55*F55</f>
        <v>769.4066356200001</v>
      </c>
      <c r="M55" s="14">
        <f t="shared" si="6"/>
        <v>9283.97987162016</v>
      </c>
      <c r="N55" s="18">
        <f>IF(N4&gt;0,(M55/$N$4/12),0)</f>
        <v>0.029472951973397332</v>
      </c>
    </row>
    <row r="56" spans="2:14" ht="60">
      <c r="B56" s="9">
        <v>49</v>
      </c>
      <c r="C56" s="35" t="s">
        <v>193</v>
      </c>
      <c r="D56" s="7" t="s">
        <v>82</v>
      </c>
      <c r="E56" s="11">
        <v>0.084</v>
      </c>
      <c r="F56" s="11">
        <v>1</v>
      </c>
      <c r="G56" s="14">
        <f>319072.560975*E56*F56</f>
        <v>26802.095121899998</v>
      </c>
      <c r="H56" s="14">
        <f>160.7415824*E56*F56</f>
        <v>13.5022929216</v>
      </c>
      <c r="I56" s="14">
        <f t="shared" si="7"/>
        <v>0</v>
      </c>
      <c r="J56" s="14">
        <f>303757.0780482*E56*F56</f>
        <v>25515.5945560488</v>
      </c>
      <c r="K56" s="14">
        <f>80988.749478728*E56*F56</f>
        <v>6803.054956213153</v>
      </c>
      <c r="L56" s="14">
        <f>63814.512195*E56*F56</f>
        <v>5360.41902438</v>
      </c>
      <c r="M56" s="14">
        <f t="shared" si="6"/>
        <v>64494.66595146354</v>
      </c>
      <c r="N56" s="18">
        <f>IF(N4&gt;0,(M56/$N$4/12),0)</f>
        <v>0.20474497127448743</v>
      </c>
    </row>
    <row r="57" spans="2:14" ht="36">
      <c r="B57" s="9">
        <v>50</v>
      </c>
      <c r="C57" s="35" t="s">
        <v>194</v>
      </c>
      <c r="D57" s="7" t="s">
        <v>83</v>
      </c>
      <c r="E57" s="11">
        <v>103.9</v>
      </c>
      <c r="F57" s="11">
        <v>1</v>
      </c>
      <c r="G57" s="14">
        <f>476.955*E57*F57</f>
        <v>49555.6245</v>
      </c>
      <c r="H57" s="14">
        <f>0*E57*F57</f>
        <v>0</v>
      </c>
      <c r="I57" s="14">
        <f t="shared" si="7"/>
        <v>0</v>
      </c>
      <c r="J57" s="14">
        <f>454.06116*E57*F57</f>
        <v>47176.954524</v>
      </c>
      <c r="K57" s="14">
        <f>121.0321008*E57*F57</f>
        <v>12575.23527312</v>
      </c>
      <c r="L57" s="14">
        <f>95.391*E57*F57</f>
        <v>9911.1249</v>
      </c>
      <c r="M57" s="14">
        <f t="shared" si="6"/>
        <v>119218.93919712</v>
      </c>
      <c r="N57" s="18">
        <f>IF(N4&gt;0,(M57/$N$4/12),0)</f>
        <v>0.37847282284799993</v>
      </c>
    </row>
    <row r="58" spans="2:14" ht="24">
      <c r="B58" s="9">
        <v>51</v>
      </c>
      <c r="C58" s="7" t="s">
        <v>84</v>
      </c>
      <c r="D58" s="7" t="s">
        <v>85</v>
      </c>
      <c r="E58" s="11">
        <v>8.4</v>
      </c>
      <c r="F58" s="11">
        <v>1</v>
      </c>
      <c r="G58" s="14">
        <f>621.63135*E58*F58</f>
        <v>5221.70334</v>
      </c>
      <c r="H58" s="14">
        <f>1.3193245352*E58*F58</f>
        <v>11.082326095680001</v>
      </c>
      <c r="I58" s="14">
        <f t="shared" si="7"/>
        <v>0</v>
      </c>
      <c r="J58" s="14">
        <f>591.7930452*E58*F58</f>
        <v>4971.06157968</v>
      </c>
      <c r="K58" s="14">
        <f>157.91668356558*E58*F58</f>
        <v>1326.5001419508721</v>
      </c>
      <c r="L58" s="14">
        <f>124.32627*E58*F58</f>
        <v>1044.340668</v>
      </c>
      <c r="M58" s="14">
        <f t="shared" si="6"/>
        <v>12574.688055726552</v>
      </c>
      <c r="N58" s="18">
        <f>IF(N4&gt;0,(M58/$N$4/12),0)</f>
        <v>0.03991964462135413</v>
      </c>
    </row>
    <row r="59" spans="2:14" ht="24">
      <c r="B59" s="9">
        <v>52</v>
      </c>
      <c r="C59" s="7" t="s">
        <v>86</v>
      </c>
      <c r="D59" s="7" t="s">
        <v>85</v>
      </c>
      <c r="E59" s="11">
        <v>8.4</v>
      </c>
      <c r="F59" s="11">
        <v>1</v>
      </c>
      <c r="G59" s="14">
        <f>114.8666625*E59*F59</f>
        <v>964.8799650000001</v>
      </c>
      <c r="H59" s="14">
        <f>0.61913312384*E59*F59</f>
        <v>5.200718240256</v>
      </c>
      <c r="I59" s="14">
        <f t="shared" si="7"/>
        <v>0</v>
      </c>
      <c r="J59" s="14">
        <f>109.3530627*E59*F59</f>
        <v>918.56572668</v>
      </c>
      <c r="K59" s="14">
        <f>29.229051582099*E59*F59</f>
        <v>245.5240332896316</v>
      </c>
      <c r="L59" s="14">
        <f>22.9733325*E59*F59</f>
        <v>192.97599300000002</v>
      </c>
      <c r="M59" s="14">
        <f t="shared" si="6"/>
        <v>2327.1464362098877</v>
      </c>
      <c r="N59" s="18">
        <f>IF(N4&gt;0,(M59/$N$4/12),0)</f>
        <v>0.0073877664641583745</v>
      </c>
    </row>
    <row r="60" spans="2:14" ht="48">
      <c r="B60" s="9">
        <v>53</v>
      </c>
      <c r="C60" s="35" t="s">
        <v>195</v>
      </c>
      <c r="D60" s="7" t="s">
        <v>87</v>
      </c>
      <c r="E60" s="11">
        <v>6.7</v>
      </c>
      <c r="F60" s="11">
        <v>1</v>
      </c>
      <c r="G60" s="14">
        <f>0.0145*E60*F60</f>
        <v>0.09715000000000001</v>
      </c>
      <c r="H60" s="14">
        <f>296.712276406*E60*F60</f>
        <v>1987.9722519202</v>
      </c>
      <c r="I60" s="14">
        <f t="shared" si="7"/>
        <v>0</v>
      </c>
      <c r="J60" s="14">
        <f>0.013804*E60*F60</f>
        <v>0.09248680000000001</v>
      </c>
      <c r="K60" s="14">
        <f>38.57627545278*E60*F60</f>
        <v>258.461045533626</v>
      </c>
      <c r="L60" s="14">
        <f>0.0029*E60*F60</f>
        <v>0.01943</v>
      </c>
      <c r="M60" s="14">
        <f t="shared" si="6"/>
        <v>2246.642364253826</v>
      </c>
      <c r="N60" s="18">
        <f>IF(N4&gt;0,(M60/$N$4/12),0)</f>
        <v>0.007132197981758178</v>
      </c>
    </row>
    <row r="61" spans="2:14" ht="36">
      <c r="B61" s="9">
        <v>54</v>
      </c>
      <c r="C61" s="35" t="s">
        <v>196</v>
      </c>
      <c r="D61" s="7" t="s">
        <v>87</v>
      </c>
      <c r="E61" s="11">
        <v>6.7</v>
      </c>
      <c r="F61" s="11">
        <v>2</v>
      </c>
      <c r="G61" s="14">
        <f>0.0399*E61*F61</f>
        <v>0.53466</v>
      </c>
      <c r="H61" s="14">
        <f>159.96842988*E61*F61</f>
        <v>2143.5769603920003</v>
      </c>
      <c r="I61" s="14">
        <f t="shared" si="7"/>
        <v>0</v>
      </c>
      <c r="J61" s="14">
        <f>0.0379848*E61*F61</f>
        <v>0.50899632</v>
      </c>
      <c r="K61" s="14">
        <f>20.8060209084*E61*F61</f>
        <v>278.80068017256</v>
      </c>
      <c r="L61" s="14">
        <f>0.00798*E61*F61</f>
        <v>0.106932</v>
      </c>
      <c r="M61" s="14">
        <f t="shared" si="6"/>
        <v>2423.52822888456</v>
      </c>
      <c r="N61" s="18">
        <f>IF(N4&gt;0,(M61/$N$4/12),0)</f>
        <v>0.007693740409157334</v>
      </c>
    </row>
    <row r="62" spans="2:14" ht="12.75">
      <c r="B62" s="47" t="s">
        <v>53</v>
      </c>
      <c r="C62" s="48"/>
      <c r="D62" s="48"/>
      <c r="E62" s="48"/>
      <c r="F62" s="48"/>
      <c r="G62" s="15">
        <f aca="true" t="shared" si="8" ref="G62:N62">SUM(G37:G61)</f>
        <v>2548202.958600644</v>
      </c>
      <c r="H62" s="15">
        <f t="shared" si="8"/>
        <v>61071.573662016635</v>
      </c>
      <c r="I62" s="15">
        <f t="shared" si="8"/>
        <v>2148.4485329999998</v>
      </c>
      <c r="J62" s="15">
        <f t="shared" si="8"/>
        <v>2425889.2165878126</v>
      </c>
      <c r="K62" s="15">
        <f t="shared" si="8"/>
        <v>654850.5856598521</v>
      </c>
      <c r="L62" s="15">
        <f t="shared" si="8"/>
        <v>509640.5917201288</v>
      </c>
      <c r="M62" s="15">
        <f t="shared" si="8"/>
        <v>6201803.374763456</v>
      </c>
      <c r="N62" s="19">
        <f t="shared" si="8"/>
        <v>19.688264681788745</v>
      </c>
    </row>
    <row r="63" spans="2:14" ht="27.75" customHeight="1">
      <c r="B63" s="49" t="s">
        <v>88</v>
      </c>
      <c r="C63" s="50"/>
      <c r="D63" s="50"/>
      <c r="E63" s="50"/>
      <c r="F63" s="50"/>
      <c r="G63" s="20">
        <f aca="true" t="shared" si="9" ref="G63:N63">G35+G62</f>
        <v>5076915.881990643</v>
      </c>
      <c r="H63" s="20">
        <f t="shared" si="9"/>
        <v>302252.247749425</v>
      </c>
      <c r="I63" s="20">
        <f t="shared" si="9"/>
        <v>4697.5270980000005</v>
      </c>
      <c r="J63" s="20">
        <f t="shared" si="9"/>
        <v>4833223.919655091</v>
      </c>
      <c r="K63" s="20">
        <f t="shared" si="9"/>
        <v>1328221.6449441114</v>
      </c>
      <c r="L63" s="20">
        <f t="shared" si="9"/>
        <v>1015383.1763981284</v>
      </c>
      <c r="M63" s="20">
        <f t="shared" si="9"/>
        <v>12560694.3978354</v>
      </c>
      <c r="N63" s="21">
        <f t="shared" si="9"/>
        <v>39.875220310588574</v>
      </c>
    </row>
    <row r="67" spans="3:14" ht="18">
      <c r="C67" s="51" t="s">
        <v>89</v>
      </c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51"/>
    </row>
    <row r="68" spans="3:11" ht="19.5" customHeight="1">
      <c r="C68" s="52" t="s">
        <v>90</v>
      </c>
      <c r="D68" s="40"/>
      <c r="E68" s="53">
        <f>G63</f>
        <v>5076915.881990643</v>
      </c>
      <c r="F68" s="40"/>
      <c r="G68" s="52" t="s">
        <v>91</v>
      </c>
      <c r="H68" s="40"/>
      <c r="I68" s="40"/>
      <c r="J68" s="53">
        <f>J63</f>
        <v>4833223.919655091</v>
      </c>
      <c r="K68" s="40"/>
    </row>
    <row r="69" spans="3:11" ht="19.5" customHeight="1">
      <c r="C69" s="52" t="s">
        <v>92</v>
      </c>
      <c r="D69" s="40"/>
      <c r="E69" s="53">
        <f>H63</f>
        <v>302252.247749425</v>
      </c>
      <c r="F69" s="40"/>
      <c r="G69" s="52" t="s">
        <v>93</v>
      </c>
      <c r="H69" s="40"/>
      <c r="I69" s="40"/>
      <c r="J69" s="53">
        <f>K63</f>
        <v>1328221.6449441114</v>
      </c>
      <c r="K69" s="40"/>
    </row>
    <row r="70" spans="3:11" ht="19.5" customHeight="1">
      <c r="C70" s="52" t="s">
        <v>94</v>
      </c>
      <c r="D70" s="40"/>
      <c r="E70" s="53">
        <f>I63</f>
        <v>4697.5270980000005</v>
      </c>
      <c r="F70" s="40"/>
      <c r="G70" s="52" t="s">
        <v>95</v>
      </c>
      <c r="H70" s="40"/>
      <c r="I70" s="40"/>
      <c r="J70" s="53">
        <f>L63</f>
        <v>1015383.1763981284</v>
      </c>
      <c r="K70" s="40"/>
    </row>
    <row r="71" spans="3:11" ht="15">
      <c r="C71" s="5"/>
      <c r="E71" s="22"/>
      <c r="G71" s="52" t="s">
        <v>96</v>
      </c>
      <c r="H71" s="40"/>
      <c r="I71" s="40"/>
      <c r="J71" s="53">
        <f>M63</f>
        <v>12560694.3978354</v>
      </c>
      <c r="K71" s="40"/>
    </row>
  </sheetData>
  <sheetProtection formatCells="0" formatColumns="0" formatRows="0" insertColumns="0" insertRows="0" insertHyperlinks="0" deleteColumns="0" deleteRows="0" sort="0" autoFilter="0" pivotTables="0"/>
  <mergeCells count="23">
    <mergeCell ref="G71:I71"/>
    <mergeCell ref="J71:K71"/>
    <mergeCell ref="C69:D69"/>
    <mergeCell ref="E69:F69"/>
    <mergeCell ref="G69:I69"/>
    <mergeCell ref="J69:K69"/>
    <mergeCell ref="C70:D70"/>
    <mergeCell ref="E70:F70"/>
    <mergeCell ref="G70:I70"/>
    <mergeCell ref="J70:K70"/>
    <mergeCell ref="B62:F62"/>
    <mergeCell ref="B63:F63"/>
    <mergeCell ref="C67:N67"/>
    <mergeCell ref="C68:D68"/>
    <mergeCell ref="E68:F68"/>
    <mergeCell ref="G68:I68"/>
    <mergeCell ref="J68:K68"/>
    <mergeCell ref="B1:M1"/>
    <mergeCell ref="B4:K4"/>
    <mergeCell ref="L4:M4"/>
    <mergeCell ref="B5:N5"/>
    <mergeCell ref="B35:F35"/>
    <mergeCell ref="B36:N36"/>
  </mergeCells>
  <printOptions/>
  <pageMargins left="0.35" right="0.35" top="0.35" bottom="0.35" header="0.3" footer="0.3"/>
  <pageSetup fitToHeight="0" fitToWidth="1" horizontalDpi="600" verticalDpi="600" orientation="landscape" paperSize="9" scale="74" r:id="rId1"/>
  <headerFooter alignWithMargins="0"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1"/>
  <sheetViews>
    <sheetView workbookViewId="0" topLeftCell="B19">
      <selection activeCell="C18" sqref="C18"/>
    </sheetView>
  </sheetViews>
  <sheetFormatPr defaultColWidth="9.140625" defaultRowHeight="12"/>
  <cols>
    <col min="1" max="1" width="0" style="0" hidden="1" customWidth="1"/>
    <col min="2" max="2" width="7.00390625" style="0" customWidth="1"/>
    <col min="3" max="3" width="60.00390625" style="0" customWidth="1"/>
    <col min="4" max="4" width="13.00390625" style="0" customWidth="1"/>
    <col min="5" max="5" width="11.00390625" style="0" customWidth="1"/>
    <col min="6" max="6" width="13.00390625" style="0" customWidth="1"/>
    <col min="7" max="7" width="15.00390625" style="0" customWidth="1"/>
  </cols>
  <sheetData>
    <row r="1" spans="2:7" ht="27.75" customHeight="1">
      <c r="B1" s="58" t="s">
        <v>97</v>
      </c>
      <c r="C1" s="58"/>
      <c r="D1" s="58"/>
      <c r="E1" s="58"/>
      <c r="F1" s="58"/>
      <c r="G1" s="58"/>
    </row>
    <row r="3" spans="1:7" ht="27">
      <c r="A3" s="23"/>
      <c r="B3" s="24" t="s">
        <v>1</v>
      </c>
      <c r="C3" s="24" t="s">
        <v>98</v>
      </c>
      <c r="D3" s="24" t="s">
        <v>99</v>
      </c>
      <c r="E3" s="24" t="s">
        <v>4</v>
      </c>
      <c r="F3" s="24" t="s">
        <v>100</v>
      </c>
      <c r="G3" s="25" t="s">
        <v>11</v>
      </c>
    </row>
    <row r="4" spans="2:7" ht="16.5">
      <c r="B4" s="57" t="s">
        <v>101</v>
      </c>
      <c r="C4" s="57"/>
      <c r="D4" s="57"/>
      <c r="E4" s="57"/>
      <c r="F4" s="57"/>
      <c r="G4" s="57"/>
    </row>
    <row r="5" spans="2:7" ht="12">
      <c r="B5" s="26">
        <v>1</v>
      </c>
      <c r="C5" s="28" t="s">
        <v>102</v>
      </c>
      <c r="D5" s="28" t="s">
        <v>103</v>
      </c>
      <c r="E5" s="29">
        <v>473.48314</v>
      </c>
      <c r="F5" s="30">
        <v>450.4575</v>
      </c>
      <c r="G5" s="32">
        <f aca="true" t="shared" si="0" ref="G5:G26">E5*F5</f>
        <v>213284.03153655</v>
      </c>
    </row>
    <row r="6" spans="2:7" ht="12">
      <c r="B6" s="27">
        <v>2</v>
      </c>
      <c r="C6" s="7" t="s">
        <v>104</v>
      </c>
      <c r="D6" s="7" t="s">
        <v>103</v>
      </c>
      <c r="E6" s="12">
        <v>63.181</v>
      </c>
      <c r="F6" s="31">
        <v>0.01</v>
      </c>
      <c r="G6" s="33">
        <f t="shared" si="0"/>
        <v>0.63181</v>
      </c>
    </row>
    <row r="7" spans="2:7" ht="12">
      <c r="B7" s="27">
        <v>3</v>
      </c>
      <c r="C7" s="7" t="s">
        <v>105</v>
      </c>
      <c r="D7" s="7" t="s">
        <v>103</v>
      </c>
      <c r="E7" s="12">
        <v>399</v>
      </c>
      <c r="F7" s="31">
        <v>0.01</v>
      </c>
      <c r="G7" s="33">
        <f t="shared" si="0"/>
        <v>3.99</v>
      </c>
    </row>
    <row r="8" spans="2:7" ht="12">
      <c r="B8" s="27">
        <v>4</v>
      </c>
      <c r="C8" s="7" t="s">
        <v>106</v>
      </c>
      <c r="D8" s="7" t="s">
        <v>103</v>
      </c>
      <c r="E8" s="12">
        <v>20.475</v>
      </c>
      <c r="F8" s="31">
        <v>0.01</v>
      </c>
      <c r="G8" s="33">
        <f t="shared" si="0"/>
        <v>0.20475000000000002</v>
      </c>
    </row>
    <row r="9" spans="2:7" ht="24">
      <c r="B9" s="27">
        <v>5</v>
      </c>
      <c r="C9" s="7" t="s">
        <v>107</v>
      </c>
      <c r="D9" s="7" t="s">
        <v>103</v>
      </c>
      <c r="E9" s="12">
        <v>54.028</v>
      </c>
      <c r="F9" s="31">
        <v>0.01</v>
      </c>
      <c r="G9" s="33">
        <f t="shared" si="0"/>
        <v>0.54028</v>
      </c>
    </row>
    <row r="10" spans="2:7" ht="12">
      <c r="B10" s="27">
        <v>6</v>
      </c>
      <c r="C10" s="7" t="s">
        <v>108</v>
      </c>
      <c r="D10" s="7" t="s">
        <v>103</v>
      </c>
      <c r="E10" s="12">
        <v>0</v>
      </c>
      <c r="F10" s="14">
        <v>602.712135</v>
      </c>
      <c r="G10" s="33">
        <f t="shared" si="0"/>
        <v>0</v>
      </c>
    </row>
    <row r="11" spans="2:7" ht="12">
      <c r="B11" s="27">
        <v>7</v>
      </c>
      <c r="C11" s="7" t="s">
        <v>109</v>
      </c>
      <c r="D11" s="7" t="s">
        <v>103</v>
      </c>
      <c r="E11" s="12">
        <v>280.53</v>
      </c>
      <c r="F11" s="31">
        <v>176.65</v>
      </c>
      <c r="G11" s="33">
        <f t="shared" si="0"/>
        <v>49555.6245</v>
      </c>
    </row>
    <row r="12" spans="2:7" ht="12">
      <c r="B12" s="27">
        <v>8</v>
      </c>
      <c r="C12" s="7" t="s">
        <v>110</v>
      </c>
      <c r="D12" s="7" t="s">
        <v>103</v>
      </c>
      <c r="E12" s="12">
        <v>29.9096</v>
      </c>
      <c r="F12" s="31">
        <v>0.01</v>
      </c>
      <c r="G12" s="33">
        <f t="shared" si="0"/>
        <v>0.29909600000000003</v>
      </c>
    </row>
    <row r="13" spans="2:7" ht="24">
      <c r="B13" s="27">
        <v>9</v>
      </c>
      <c r="C13" s="7" t="s">
        <v>111</v>
      </c>
      <c r="D13" s="7" t="s">
        <v>103</v>
      </c>
      <c r="E13" s="12">
        <v>4673.82911854</v>
      </c>
      <c r="F13" s="31">
        <v>488.97</v>
      </c>
      <c r="G13" s="33">
        <f t="shared" si="0"/>
        <v>2285362.224092504</v>
      </c>
    </row>
    <row r="14" spans="2:7" ht="24">
      <c r="B14" s="27">
        <v>10</v>
      </c>
      <c r="C14" s="7" t="s">
        <v>112</v>
      </c>
      <c r="D14" s="7" t="s">
        <v>103</v>
      </c>
      <c r="E14" s="12">
        <v>210</v>
      </c>
      <c r="F14" s="31">
        <v>0.01</v>
      </c>
      <c r="G14" s="33">
        <f t="shared" si="0"/>
        <v>2.1</v>
      </c>
    </row>
    <row r="15" spans="2:7" ht="24">
      <c r="B15" s="27">
        <v>11</v>
      </c>
      <c r="C15" s="7" t="s">
        <v>113</v>
      </c>
      <c r="D15" s="7" t="s">
        <v>103</v>
      </c>
      <c r="E15" s="12">
        <v>446.688</v>
      </c>
      <c r="F15" s="31">
        <v>0.01</v>
      </c>
      <c r="G15" s="33">
        <f t="shared" si="0"/>
        <v>4.46688</v>
      </c>
    </row>
    <row r="16" spans="2:7" ht="12">
      <c r="B16" s="27">
        <v>12</v>
      </c>
      <c r="C16" s="7" t="s">
        <v>114</v>
      </c>
      <c r="D16" s="7" t="s">
        <v>103</v>
      </c>
      <c r="E16" s="12">
        <v>505</v>
      </c>
      <c r="F16" s="31">
        <v>534.48</v>
      </c>
      <c r="G16" s="33">
        <f t="shared" si="0"/>
        <v>269912.4</v>
      </c>
    </row>
    <row r="17" spans="2:7" ht="12">
      <c r="B17" s="27">
        <v>13</v>
      </c>
      <c r="C17" s="7" t="s">
        <v>115</v>
      </c>
      <c r="D17" s="7" t="s">
        <v>103</v>
      </c>
      <c r="E17" s="12">
        <v>167.24</v>
      </c>
      <c r="F17" s="31">
        <v>534.48</v>
      </c>
      <c r="G17" s="33">
        <f t="shared" si="0"/>
        <v>89386.4352</v>
      </c>
    </row>
    <row r="18" spans="2:7" ht="12">
      <c r="B18" s="27">
        <v>14</v>
      </c>
      <c r="C18" s="7" t="s">
        <v>116</v>
      </c>
      <c r="D18" s="7" t="s">
        <v>103</v>
      </c>
      <c r="E18" s="12">
        <v>468.43968328</v>
      </c>
      <c r="F18" s="31">
        <v>0.01</v>
      </c>
      <c r="G18" s="33">
        <f t="shared" si="0"/>
        <v>4.6843968328</v>
      </c>
    </row>
    <row r="19" spans="2:7" ht="12">
      <c r="B19" s="27">
        <v>15</v>
      </c>
      <c r="C19" s="7" t="s">
        <v>117</v>
      </c>
      <c r="D19" s="7" t="s">
        <v>103</v>
      </c>
      <c r="E19" s="12">
        <v>3597.70535</v>
      </c>
      <c r="F19" s="31">
        <v>602.99</v>
      </c>
      <c r="G19" s="33">
        <f t="shared" si="0"/>
        <v>2169380.3489965</v>
      </c>
    </row>
    <row r="20" spans="2:7" ht="12">
      <c r="B20" s="27">
        <v>16</v>
      </c>
      <c r="C20" s="7" t="s">
        <v>118</v>
      </c>
      <c r="D20" s="7" t="s">
        <v>103</v>
      </c>
      <c r="E20" s="12">
        <v>38.70633328</v>
      </c>
      <c r="F20" s="31">
        <v>0.01</v>
      </c>
      <c r="G20" s="33">
        <f t="shared" si="0"/>
        <v>0.38706333280000005</v>
      </c>
    </row>
    <row r="21" spans="2:7" ht="12">
      <c r="B21" s="27">
        <v>17</v>
      </c>
      <c r="C21" s="7" t="s">
        <v>119</v>
      </c>
      <c r="D21" s="7" t="s">
        <v>103</v>
      </c>
      <c r="E21" s="12">
        <v>38.70633328</v>
      </c>
      <c r="F21" s="31">
        <v>0.01</v>
      </c>
      <c r="G21" s="33">
        <f t="shared" si="0"/>
        <v>0.38706333280000005</v>
      </c>
    </row>
    <row r="22" spans="2:7" ht="12">
      <c r="B22" s="27">
        <v>18</v>
      </c>
      <c r="C22" s="7" t="s">
        <v>120</v>
      </c>
      <c r="D22" s="7" t="s">
        <v>103</v>
      </c>
      <c r="E22" s="12">
        <v>14.75666667</v>
      </c>
      <c r="F22" s="31">
        <v>0.01</v>
      </c>
      <c r="G22" s="33">
        <f t="shared" si="0"/>
        <v>0.1475666667</v>
      </c>
    </row>
    <row r="23" spans="2:7" ht="12">
      <c r="B23" s="27">
        <v>19</v>
      </c>
      <c r="C23" s="7" t="s">
        <v>121</v>
      </c>
      <c r="D23" s="7" t="s">
        <v>103</v>
      </c>
      <c r="E23" s="12">
        <v>682.5</v>
      </c>
      <c r="F23" s="31">
        <v>0.01</v>
      </c>
      <c r="G23" s="33">
        <f t="shared" si="0"/>
        <v>6.825</v>
      </c>
    </row>
    <row r="24" spans="2:7" ht="24">
      <c r="B24" s="27">
        <v>20</v>
      </c>
      <c r="C24" s="7" t="s">
        <v>122</v>
      </c>
      <c r="D24" s="7" t="s">
        <v>123</v>
      </c>
      <c r="E24" s="12">
        <v>446.688</v>
      </c>
      <c r="F24" s="31">
        <v>0.01</v>
      </c>
      <c r="G24" s="33">
        <f t="shared" si="0"/>
        <v>4.46688</v>
      </c>
    </row>
    <row r="25" spans="2:7" ht="24">
      <c r="B25" s="27">
        <v>21</v>
      </c>
      <c r="C25" s="7" t="s">
        <v>124</v>
      </c>
      <c r="D25" s="7" t="s">
        <v>103</v>
      </c>
      <c r="E25" s="12">
        <v>104</v>
      </c>
      <c r="F25" s="31">
        <v>0.01</v>
      </c>
      <c r="G25" s="33">
        <f t="shared" si="0"/>
        <v>1.04</v>
      </c>
    </row>
    <row r="26" spans="2:7" ht="24">
      <c r="B26" s="27">
        <v>22</v>
      </c>
      <c r="C26" s="7" t="s">
        <v>125</v>
      </c>
      <c r="D26" s="7" t="s">
        <v>103</v>
      </c>
      <c r="E26" s="12">
        <v>464.688</v>
      </c>
      <c r="F26" s="31">
        <v>0.01</v>
      </c>
      <c r="G26" s="33">
        <f t="shared" si="0"/>
        <v>4.64688</v>
      </c>
    </row>
    <row r="27" spans="2:7" ht="12.75" thickBot="1">
      <c r="B27" s="54" t="s">
        <v>126</v>
      </c>
      <c r="C27" s="55"/>
      <c r="D27" s="55"/>
      <c r="E27" s="55"/>
      <c r="F27" s="56"/>
      <c r="G27" s="34">
        <f>SUM(G5:G26)</f>
        <v>5076915.88199172</v>
      </c>
    </row>
    <row r="28" spans="2:7" ht="16.5">
      <c r="B28" s="57" t="s">
        <v>127</v>
      </c>
      <c r="C28" s="57"/>
      <c r="D28" s="57"/>
      <c r="E28" s="57"/>
      <c r="F28" s="57"/>
      <c r="G28" s="57"/>
    </row>
    <row r="29" spans="2:7" ht="12">
      <c r="B29" s="26">
        <v>23</v>
      </c>
      <c r="C29" s="28" t="s">
        <v>128</v>
      </c>
      <c r="D29" s="28" t="s">
        <v>129</v>
      </c>
      <c r="E29" s="29">
        <v>0.024416</v>
      </c>
      <c r="F29" s="30">
        <v>81313.09365199998</v>
      </c>
      <c r="G29" s="32">
        <f aca="true" t="shared" si="1" ref="G29:G52">E29*F29</f>
        <v>1985.3404946072314</v>
      </c>
    </row>
    <row r="30" spans="2:7" ht="24">
      <c r="B30" s="27">
        <v>24</v>
      </c>
      <c r="C30" s="7" t="s">
        <v>130</v>
      </c>
      <c r="D30" s="7" t="s">
        <v>129</v>
      </c>
      <c r="E30" s="12">
        <v>0.0452</v>
      </c>
      <c r="F30" s="14">
        <v>157795.72526199996</v>
      </c>
      <c r="G30" s="33">
        <f t="shared" si="1"/>
        <v>7132.366781842398</v>
      </c>
    </row>
    <row r="31" spans="2:7" ht="12">
      <c r="B31" s="27">
        <v>25</v>
      </c>
      <c r="C31" s="7" t="s">
        <v>131</v>
      </c>
      <c r="D31" s="7" t="s">
        <v>132</v>
      </c>
      <c r="E31" s="12">
        <v>4.296</v>
      </c>
      <c r="F31" s="14">
        <v>37.028754</v>
      </c>
      <c r="G31" s="33">
        <f t="shared" si="1"/>
        <v>159.075527184</v>
      </c>
    </row>
    <row r="32" spans="2:7" ht="12">
      <c r="B32" s="27">
        <v>26</v>
      </c>
      <c r="C32" s="7" t="s">
        <v>133</v>
      </c>
      <c r="D32" s="7" t="s">
        <v>134</v>
      </c>
      <c r="E32" s="12">
        <v>540.18739</v>
      </c>
      <c r="F32" s="14">
        <v>0</v>
      </c>
      <c r="G32" s="33">
        <f t="shared" si="1"/>
        <v>0</v>
      </c>
    </row>
    <row r="33" spans="2:7" ht="12">
      <c r="B33" s="27">
        <v>27</v>
      </c>
      <c r="C33" s="7" t="s">
        <v>135</v>
      </c>
      <c r="D33" s="7" t="s">
        <v>136</v>
      </c>
      <c r="E33" s="12">
        <v>510.825</v>
      </c>
      <c r="F33" s="14">
        <v>377.39279199999993</v>
      </c>
      <c r="G33" s="33">
        <f t="shared" si="1"/>
        <v>192781.67297339995</v>
      </c>
    </row>
    <row r="34" spans="2:7" ht="12">
      <c r="B34" s="27">
        <v>28</v>
      </c>
      <c r="C34" s="7" t="s">
        <v>137</v>
      </c>
      <c r="D34" s="7" t="s">
        <v>132</v>
      </c>
      <c r="E34" s="12">
        <v>24.254</v>
      </c>
      <c r="F34" s="14">
        <v>88.38034799999998</v>
      </c>
      <c r="G34" s="33">
        <f t="shared" si="1"/>
        <v>2143.576960392</v>
      </c>
    </row>
    <row r="35" spans="2:7" ht="12">
      <c r="B35" s="27">
        <v>29</v>
      </c>
      <c r="C35" s="7" t="s">
        <v>138</v>
      </c>
      <c r="D35" s="7" t="s">
        <v>132</v>
      </c>
      <c r="E35" s="12">
        <v>0.41875</v>
      </c>
      <c r="F35" s="14">
        <v>196.588</v>
      </c>
      <c r="G35" s="33">
        <f t="shared" si="1"/>
        <v>82.321225</v>
      </c>
    </row>
    <row r="36" spans="2:7" ht="12">
      <c r="B36" s="27">
        <v>30</v>
      </c>
      <c r="C36" s="7" t="s">
        <v>139</v>
      </c>
      <c r="D36" s="7" t="s">
        <v>132</v>
      </c>
      <c r="E36" s="12">
        <v>1.3936</v>
      </c>
      <c r="F36" s="14">
        <v>1352.188432</v>
      </c>
      <c r="G36" s="33">
        <f t="shared" si="1"/>
        <v>1884.4097988351998</v>
      </c>
    </row>
    <row r="37" spans="2:7" ht="12">
      <c r="B37" s="27">
        <v>31</v>
      </c>
      <c r="C37" s="7" t="s">
        <v>140</v>
      </c>
      <c r="D37" s="7" t="s">
        <v>129</v>
      </c>
      <c r="E37" s="12">
        <v>0.000755</v>
      </c>
      <c r="F37" s="14">
        <v>74727.35352599999</v>
      </c>
      <c r="G37" s="33">
        <f t="shared" si="1"/>
        <v>56.41915191213</v>
      </c>
    </row>
    <row r="38" spans="2:7" ht="24">
      <c r="B38" s="27">
        <v>32</v>
      </c>
      <c r="C38" s="7" t="s">
        <v>141</v>
      </c>
      <c r="D38" s="7" t="s">
        <v>132</v>
      </c>
      <c r="E38" s="12">
        <v>4.16</v>
      </c>
      <c r="F38" s="14">
        <v>159.75583399999996</v>
      </c>
      <c r="G38" s="33">
        <f t="shared" si="1"/>
        <v>664.5842694399998</v>
      </c>
    </row>
    <row r="39" spans="2:7" ht="12">
      <c r="B39" s="27">
        <v>33</v>
      </c>
      <c r="C39" s="7" t="s">
        <v>142</v>
      </c>
      <c r="D39" s="7" t="s">
        <v>132</v>
      </c>
      <c r="E39" s="12">
        <v>104</v>
      </c>
      <c r="F39" s="14">
        <v>116.85752399999998</v>
      </c>
      <c r="G39" s="33">
        <f t="shared" si="1"/>
        <v>12153.182495999998</v>
      </c>
    </row>
    <row r="40" spans="2:7" ht="12">
      <c r="B40" s="27">
        <v>34</v>
      </c>
      <c r="C40" s="7" t="s">
        <v>143</v>
      </c>
      <c r="D40" s="7" t="s">
        <v>132</v>
      </c>
      <c r="E40" s="12">
        <v>0.1675</v>
      </c>
      <c r="F40" s="14">
        <v>126.813302</v>
      </c>
      <c r="G40" s="33">
        <f t="shared" si="1"/>
        <v>21.241228085</v>
      </c>
    </row>
    <row r="41" spans="2:7" ht="12">
      <c r="B41" s="27">
        <v>35</v>
      </c>
      <c r="C41" s="7" t="s">
        <v>144</v>
      </c>
      <c r="D41" s="7" t="s">
        <v>129</v>
      </c>
      <c r="E41" s="12">
        <v>0.00543</v>
      </c>
      <c r="F41" s="14">
        <v>91664.98243</v>
      </c>
      <c r="G41" s="33">
        <f t="shared" si="1"/>
        <v>497.7408545949</v>
      </c>
    </row>
    <row r="42" spans="2:7" ht="12">
      <c r="B42" s="27">
        <v>36</v>
      </c>
      <c r="C42" s="7" t="s">
        <v>145</v>
      </c>
      <c r="D42" s="7" t="s">
        <v>146</v>
      </c>
      <c r="E42" s="12">
        <v>0.3173088</v>
      </c>
      <c r="F42" s="14">
        <v>5394.599392</v>
      </c>
      <c r="G42" s="33">
        <f t="shared" si="1"/>
        <v>1711.7538595562496</v>
      </c>
    </row>
    <row r="43" spans="2:7" ht="12">
      <c r="B43" s="27">
        <v>37</v>
      </c>
      <c r="C43" s="7" t="s">
        <v>147</v>
      </c>
      <c r="D43" s="7" t="s">
        <v>132</v>
      </c>
      <c r="E43" s="12">
        <v>76.014</v>
      </c>
      <c r="F43" s="14">
        <v>466.48928199999995</v>
      </c>
      <c r="G43" s="33">
        <f t="shared" si="1"/>
        <v>35459.71628194799</v>
      </c>
    </row>
    <row r="44" spans="2:7" ht="12">
      <c r="B44" s="27">
        <v>38</v>
      </c>
      <c r="C44" s="7" t="s">
        <v>148</v>
      </c>
      <c r="D44" s="7" t="s">
        <v>132</v>
      </c>
      <c r="E44" s="12">
        <v>6.942</v>
      </c>
      <c r="F44" s="14">
        <v>86.82168599999999</v>
      </c>
      <c r="G44" s="33">
        <f t="shared" si="1"/>
        <v>602.7161442119999</v>
      </c>
    </row>
    <row r="45" spans="2:7" ht="12">
      <c r="B45" s="27">
        <v>39</v>
      </c>
      <c r="C45" s="7" t="s">
        <v>149</v>
      </c>
      <c r="D45" s="7" t="s">
        <v>150</v>
      </c>
      <c r="E45" s="12">
        <v>46.29</v>
      </c>
      <c r="F45" s="14">
        <v>12.750135999999998</v>
      </c>
      <c r="G45" s="33">
        <f t="shared" si="1"/>
        <v>590.2037954399999</v>
      </c>
    </row>
    <row r="46" spans="2:7" ht="12">
      <c r="B46" s="27">
        <v>40</v>
      </c>
      <c r="C46" s="7" t="s">
        <v>151</v>
      </c>
      <c r="D46" s="7" t="s">
        <v>132</v>
      </c>
      <c r="E46" s="12">
        <v>2.374</v>
      </c>
      <c r="F46" s="14">
        <v>352.833334</v>
      </c>
      <c r="G46" s="33">
        <f t="shared" si="1"/>
        <v>837.626334916</v>
      </c>
    </row>
    <row r="47" spans="2:7" ht="12">
      <c r="B47" s="27">
        <v>41</v>
      </c>
      <c r="C47" s="7" t="s">
        <v>152</v>
      </c>
      <c r="D47" s="7" t="s">
        <v>129</v>
      </c>
      <c r="E47" s="12">
        <v>0.000302</v>
      </c>
      <c r="F47" s="14">
        <v>56747.83630599999</v>
      </c>
      <c r="G47" s="33">
        <f t="shared" si="1"/>
        <v>17.137846564411998</v>
      </c>
    </row>
    <row r="48" spans="2:7" ht="12">
      <c r="B48" s="27">
        <v>42</v>
      </c>
      <c r="C48" s="7" t="s">
        <v>153</v>
      </c>
      <c r="D48" s="7" t="s">
        <v>132</v>
      </c>
      <c r="E48" s="12">
        <v>0.302</v>
      </c>
      <c r="F48" s="14">
        <v>155.69769599999998</v>
      </c>
      <c r="G48" s="33">
        <f t="shared" si="1"/>
        <v>47.02070419199999</v>
      </c>
    </row>
    <row r="49" spans="2:7" ht="24">
      <c r="B49" s="27">
        <v>43</v>
      </c>
      <c r="C49" s="7" t="s">
        <v>154</v>
      </c>
      <c r="D49" s="7" t="s">
        <v>129</v>
      </c>
      <c r="E49" s="12">
        <v>0.0168</v>
      </c>
      <c r="F49" s="14">
        <v>70232.20040199999</v>
      </c>
      <c r="G49" s="33">
        <f t="shared" si="1"/>
        <v>1179.9009667535997</v>
      </c>
    </row>
    <row r="50" spans="2:7" ht="12">
      <c r="B50" s="27">
        <v>44</v>
      </c>
      <c r="C50" s="7" t="s">
        <v>155</v>
      </c>
      <c r="D50" s="7" t="s">
        <v>132</v>
      </c>
      <c r="E50" s="12">
        <v>18.08</v>
      </c>
      <c r="F50" s="14">
        <v>217.11740399999996</v>
      </c>
      <c r="G50" s="33">
        <f t="shared" si="1"/>
        <v>3925.482664319999</v>
      </c>
    </row>
    <row r="51" spans="2:7" ht="12">
      <c r="B51" s="27">
        <v>45</v>
      </c>
      <c r="C51" s="7" t="s">
        <v>156</v>
      </c>
      <c r="D51" s="7" t="s">
        <v>157</v>
      </c>
      <c r="E51" s="12">
        <v>48.61575</v>
      </c>
      <c r="F51" s="14">
        <v>621.84997</v>
      </c>
      <c r="G51" s="33">
        <f t="shared" si="1"/>
        <v>30231.702679027498</v>
      </c>
    </row>
    <row r="52" spans="2:7" ht="12">
      <c r="B52" s="27">
        <v>46</v>
      </c>
      <c r="C52" s="7" t="s">
        <v>158</v>
      </c>
      <c r="D52" s="7" t="s">
        <v>132</v>
      </c>
      <c r="E52" s="12">
        <v>43.05</v>
      </c>
      <c r="F52" s="14">
        <v>111.802404</v>
      </c>
      <c r="G52" s="33">
        <f t="shared" si="1"/>
        <v>4813.0934922</v>
      </c>
    </row>
    <row r="53" spans="2:7" ht="12">
      <c r="B53" s="54" t="s">
        <v>126</v>
      </c>
      <c r="C53" s="55"/>
      <c r="D53" s="55"/>
      <c r="E53" s="55"/>
      <c r="F53" s="56"/>
      <c r="G53" s="34">
        <f>SUM(G29:G52)</f>
        <v>298978.28653042257</v>
      </c>
    </row>
    <row r="54" spans="2:7" ht="16.5">
      <c r="B54" s="57" t="s">
        <v>159</v>
      </c>
      <c r="C54" s="57"/>
      <c r="D54" s="57"/>
      <c r="E54" s="57"/>
      <c r="F54" s="57"/>
      <c r="G54" s="57"/>
    </row>
    <row r="55" spans="2:7" ht="12">
      <c r="B55" s="26">
        <v>47</v>
      </c>
      <c r="C55" s="28" t="s">
        <v>160</v>
      </c>
      <c r="D55" s="28" t="s">
        <v>150</v>
      </c>
      <c r="E55" s="29">
        <v>2.34661738</v>
      </c>
      <c r="F55" s="30">
        <v>172.7166</v>
      </c>
      <c r="G55" s="32">
        <f aca="true" t="shared" si="2" ref="G55:G66">E55*F55</f>
        <v>405.299775374508</v>
      </c>
    </row>
    <row r="56" spans="2:7" ht="12">
      <c r="B56" s="27">
        <v>48</v>
      </c>
      <c r="C56" s="7" t="s">
        <v>161</v>
      </c>
      <c r="D56" s="7" t="s">
        <v>150</v>
      </c>
      <c r="E56" s="12">
        <v>22.49104275</v>
      </c>
      <c r="F56" s="14">
        <v>115.14439999999999</v>
      </c>
      <c r="G56" s="33">
        <f t="shared" si="2"/>
        <v>2589.7176228230996</v>
      </c>
    </row>
    <row r="57" spans="2:7" ht="12">
      <c r="B57" s="27">
        <v>49</v>
      </c>
      <c r="C57" s="7" t="s">
        <v>162</v>
      </c>
      <c r="D57" s="7" t="s">
        <v>150</v>
      </c>
      <c r="E57" s="12">
        <v>0.0124</v>
      </c>
      <c r="F57" s="14">
        <v>138.17328</v>
      </c>
      <c r="G57" s="33">
        <f t="shared" si="2"/>
        <v>1.713348672</v>
      </c>
    </row>
    <row r="58" spans="2:7" ht="12">
      <c r="B58" s="27">
        <v>50</v>
      </c>
      <c r="C58" s="7" t="s">
        <v>163</v>
      </c>
      <c r="D58" s="7" t="s">
        <v>150</v>
      </c>
      <c r="E58" s="12">
        <v>0.00924</v>
      </c>
      <c r="F58" s="14">
        <v>229.13735599999998</v>
      </c>
      <c r="G58" s="33">
        <f t="shared" si="2"/>
        <v>2.11722916944</v>
      </c>
    </row>
    <row r="59" spans="2:7" ht="12">
      <c r="B59" s="27">
        <v>51</v>
      </c>
      <c r="C59" s="7" t="s">
        <v>164</v>
      </c>
      <c r="D59" s="7" t="s">
        <v>150</v>
      </c>
      <c r="E59" s="12">
        <v>0.0336</v>
      </c>
      <c r="F59" s="14">
        <v>218.77436</v>
      </c>
      <c r="G59" s="33">
        <f t="shared" si="2"/>
        <v>7.350818496</v>
      </c>
    </row>
    <row r="60" spans="2:7" ht="12">
      <c r="B60" s="27">
        <v>52</v>
      </c>
      <c r="C60" s="7" t="s">
        <v>165</v>
      </c>
      <c r="D60" s="7" t="s">
        <v>150</v>
      </c>
      <c r="E60" s="12">
        <v>0.1512</v>
      </c>
      <c r="F60" s="14">
        <v>127.81028399999998</v>
      </c>
      <c r="G60" s="33">
        <f t="shared" si="2"/>
        <v>19.324914940799996</v>
      </c>
    </row>
    <row r="61" spans="2:7" ht="12">
      <c r="B61" s="27">
        <v>53</v>
      </c>
      <c r="C61" s="7" t="s">
        <v>166</v>
      </c>
      <c r="D61" s="7" t="s">
        <v>150</v>
      </c>
      <c r="E61" s="12">
        <v>0.03444</v>
      </c>
      <c r="F61" s="14">
        <v>183.07959599999998</v>
      </c>
      <c r="G61" s="33">
        <f t="shared" si="2"/>
        <v>6.3052612862399995</v>
      </c>
    </row>
    <row r="62" spans="2:7" ht="12">
      <c r="B62" s="27">
        <v>54</v>
      </c>
      <c r="C62" s="7" t="s">
        <v>167</v>
      </c>
      <c r="D62" s="7" t="s">
        <v>150</v>
      </c>
      <c r="E62" s="12">
        <v>0.93712677</v>
      </c>
      <c r="F62" s="14">
        <v>113.992956</v>
      </c>
      <c r="G62" s="33">
        <f t="shared" si="2"/>
        <v>106.82585065903213</v>
      </c>
    </row>
    <row r="63" spans="2:7" ht="12">
      <c r="B63" s="27">
        <v>55</v>
      </c>
      <c r="C63" s="7" t="s">
        <v>168</v>
      </c>
      <c r="D63" s="7" t="s">
        <v>150</v>
      </c>
      <c r="E63" s="12">
        <v>0.0084</v>
      </c>
      <c r="F63" s="14">
        <v>2819.8863559999995</v>
      </c>
      <c r="G63" s="33">
        <f t="shared" si="2"/>
        <v>23.687045390399994</v>
      </c>
    </row>
    <row r="64" spans="2:7" ht="12">
      <c r="B64" s="27">
        <v>56</v>
      </c>
      <c r="C64" s="7" t="s">
        <v>169</v>
      </c>
      <c r="D64" s="7" t="s">
        <v>150</v>
      </c>
      <c r="E64" s="12">
        <v>0.395472</v>
      </c>
      <c r="F64" s="14">
        <v>90.96407599999999</v>
      </c>
      <c r="G64" s="33">
        <f t="shared" si="2"/>
        <v>35.973745063871995</v>
      </c>
    </row>
    <row r="65" spans="2:7" ht="12">
      <c r="B65" s="27">
        <v>57</v>
      </c>
      <c r="C65" s="7" t="s">
        <v>170</v>
      </c>
      <c r="D65" s="7" t="s">
        <v>150</v>
      </c>
      <c r="E65" s="12">
        <v>0.48913452</v>
      </c>
      <c r="F65" s="14">
        <v>149.68771999999998</v>
      </c>
      <c r="G65" s="33">
        <f t="shared" si="2"/>
        <v>73.2174310720944</v>
      </c>
    </row>
    <row r="66" spans="2:7" ht="12">
      <c r="B66" s="27">
        <v>58</v>
      </c>
      <c r="C66" s="7" t="s">
        <v>171</v>
      </c>
      <c r="D66" s="7" t="s">
        <v>150</v>
      </c>
      <c r="E66" s="12">
        <v>0.0064293</v>
      </c>
      <c r="F66" s="14">
        <v>377.67363199999994</v>
      </c>
      <c r="G66" s="33">
        <f t="shared" si="2"/>
        <v>2.4281770822175996</v>
      </c>
    </row>
    <row r="67" spans="2:7" ht="12">
      <c r="B67" s="54" t="s">
        <v>126</v>
      </c>
      <c r="C67" s="55"/>
      <c r="D67" s="55"/>
      <c r="E67" s="55"/>
      <c r="F67" s="56"/>
      <c r="G67" s="34">
        <f>SUM(G55:G66)</f>
        <v>3273.9612200297033</v>
      </c>
    </row>
    <row r="68" spans="2:7" ht="16.5">
      <c r="B68" s="57" t="s">
        <v>172</v>
      </c>
      <c r="C68" s="57"/>
      <c r="D68" s="57"/>
      <c r="E68" s="57"/>
      <c r="F68" s="57"/>
      <c r="G68" s="57"/>
    </row>
    <row r="69" spans="2:7" ht="12">
      <c r="B69" s="26">
        <v>59</v>
      </c>
      <c r="C69" s="28" t="s">
        <v>173</v>
      </c>
      <c r="D69" s="28" t="s">
        <v>174</v>
      </c>
      <c r="E69" s="29">
        <v>22.89</v>
      </c>
      <c r="F69" s="30">
        <v>93.85969999999999</v>
      </c>
      <c r="G69" s="32">
        <f>E69*F69</f>
        <v>2148.4485329999998</v>
      </c>
    </row>
    <row r="70" spans="2:7" ht="24">
      <c r="B70" s="27">
        <v>60</v>
      </c>
      <c r="C70" s="7" t="s">
        <v>175</v>
      </c>
      <c r="D70" s="7" t="s">
        <v>174</v>
      </c>
      <c r="E70" s="12">
        <v>22.65</v>
      </c>
      <c r="F70" s="14">
        <v>112.5421</v>
      </c>
      <c r="G70" s="33">
        <f>E70*F70</f>
        <v>2549.078565</v>
      </c>
    </row>
    <row r="71" spans="2:7" ht="12">
      <c r="B71" s="54" t="s">
        <v>126</v>
      </c>
      <c r="C71" s="55"/>
      <c r="D71" s="55"/>
      <c r="E71" s="55"/>
      <c r="F71" s="56"/>
      <c r="G71" s="34">
        <f>SUM(G69:G70)</f>
        <v>4697.527098</v>
      </c>
    </row>
  </sheetData>
  <sheetProtection formatCells="0" formatColumns="0" formatRows="0" insertColumns="0" insertRows="0" insertHyperlinks="0" deleteColumns="0" deleteRows="0" sort="0" autoFilter="0" pivotTables="0"/>
  <mergeCells count="9">
    <mergeCell ref="B67:F67"/>
    <mergeCell ref="B68:G68"/>
    <mergeCell ref="B71:F71"/>
    <mergeCell ref="B1:G1"/>
    <mergeCell ref="B4:G4"/>
    <mergeCell ref="B27:F27"/>
    <mergeCell ref="B28:G28"/>
    <mergeCell ref="B53:F53"/>
    <mergeCell ref="B54:G54"/>
  </mergeCells>
  <printOptions/>
  <pageMargins left="0.35" right="0.35" top="0.35" bottom="0.35" header="0.3" footer="0.3"/>
  <pageSetup fitToHeight="0" fitToWidth="1" horizontalDpi="600" verticalDpi="600" orientation="portrait" paperSize="9" r:id="rId1"/>
  <headerFooter alignWithMargins="0"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Ð¡Ð¼ÐµÑ‚Ð° Ñ€Ð°ÑÑ…Ð¾Ð´Ð¾Ð²</dc:title>
  <dc:subject>Ð¡Ð¼ÐµÑ‚Ð° Ñ€Ð°ÑÑ…Ð¾Ð´Ð¾Ð²</dc:subject>
  <dc:creator>ÐœÐšÐ”-Ñ€Ð°ÑÑ‡ÐµÑ‚. Ð¦ÐµÐ½Ñ‚Ñ€ Ð¼ÑƒÐ½Ð¸Ñ†Ð¸Ð¿Ð°Ð»ÑŒÐ½Ð¾Ð¹ ÑÐºÐ¾Ð½Ð¾Ð¼Ð¸ÐºÐ¸ Ð¸ Ð¿Ñ€Ð°Ð²Ð°</dc:creator>
  <cp:keywords>ÑÐ¼ÐµÑ‚Ð° Ñ€Ð°ÑÑ‡ÐµÑ‚ Ð¶ÐºÑ…</cp:keywords>
  <dc:description>Ð¡Ð¼ÐµÑ‚Ð° Ñ€Ð°ÑÑ…Ð¾Ð´Ð¾Ð² Ð²ÐºÐ»ÑŽÑ‡Ð°ÐµÑ‚ Ð¿ÐµÑ€ÐµÑ‡ÐµÐ½ÑŒ Ñ€Ð°Ð±Ð¾Ñ‚ Ð¸ Ð¿ÐµÑ€ÐµÑ‡ÐµÐ½ÑŒ Ñ€ÐµÑÑƒÑ€ÑÐ¾Ð²</dc:description>
  <cp:lastModifiedBy>Олеся</cp:lastModifiedBy>
  <cp:lastPrinted>2018-12-06T06:16:00Z</cp:lastPrinted>
  <dcterms:created xsi:type="dcterms:W3CDTF">2018-12-06T09:15:36Z</dcterms:created>
  <dcterms:modified xsi:type="dcterms:W3CDTF">2018-12-07T04:11:01Z</dcterms:modified>
  <cp:category>ÑÐ¼ÐµÑ‚Ð°</cp:category>
  <cp:version/>
  <cp:contentType/>
  <cp:contentStatus/>
</cp:coreProperties>
</file>