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 refMode="R1C1"/>
</workbook>
</file>

<file path=xl/sharedStrings.xml><?xml version="1.0" encoding="utf-8"?>
<sst xmlns="http://schemas.openxmlformats.org/spreadsheetml/2006/main" count="291" uniqueCount="212">
  <si>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</si>
  <si>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</si>
  <si>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</si>
  <si>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</si>
  <si>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</si>
  <si>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</si>
  <si>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</si>
  <si>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</si>
  <si>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</si>
  <si>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</si>
  <si>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</si>
  <si>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</si>
  <si>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</si>
  <si>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деревянные дома</t>
  </si>
  <si>
    <t>Общ. площ.,кв.м.</t>
  </si>
  <si>
    <t>Внутридомовое инженерное оборудование и технические устройства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</si>
  <si>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</si>
  <si>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</si>
  <si>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</si>
  <si>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</si>
  <si>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</si>
  <si>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</si>
  <si>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</si>
  <si>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внутренней отделки стен</t>
  </si>
  <si>
    <t>Осмотр всех элементов кровель из штучных материалов,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</si>
  <si>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</si>
  <si>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</si>
  <si>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</si>
  <si>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</si>
  <si>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</si>
  <si>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</si>
  <si>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</si>
  <si>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</si>
  <si>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</si>
  <si>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</si>
  <si>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</si>
  <si>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</si>
  <si>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</si>
  <si>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</si>
  <si>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</si>
  <si>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</si>
  <si>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</si>
  <si>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</si>
  <si>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</si>
  <si>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</si>
  <si>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</si>
  <si>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Первое рабочее испытание отдельных частей системы при диаметре трубопровода до 50 мм</t>
  </si>
  <si>
    <t>100 м трубопровода</t>
  </si>
  <si>
    <t>Рабочая проверка системы в целом при диаметре трубопровода до 50 мм</t>
  </si>
  <si>
    <t>Окончательная проверка при сдаче системы при диаметре трубопровода до 50 мм</t>
  </si>
  <si>
    <t>Проверка на прогрев отопительных приборов с регулировкой</t>
  </si>
  <si>
    <t>Промывка трубопроводов системы центрального отопления до 50 мм</t>
  </si>
  <si>
    <t>10 м трубопровода (100 м3 здания)</t>
  </si>
  <si>
    <t>Притирка пробочного крана диаметром 33-50 мм без снятия с места</t>
  </si>
  <si>
    <t>100 кранов</t>
  </si>
  <si>
    <t>Притирка клапана вентиля диаметром 33-50 мм без снятия с места</t>
  </si>
  <si>
    <t>100 вентилей</t>
  </si>
  <si>
    <t>Ликвидация воздушных пробок в стояке системы отопления</t>
  </si>
  <si>
    <t>100 стояков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</si>
  <si>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</si>
  <si>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оборудованных газовыми плитами (в год для одной смены)</t>
  </si>
  <si>
    <t>Устранение аварии на внутридомовых инженерных сетях при сроке эксплуатации многоквартирного дома от 31 до 50 лет</t>
  </si>
  <si>
    <t>Устранение аварии на внутридомовых инженерных сетях при сроке эксплуатации многоквартирного дома от 51 до 70 лет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</si>
  <si>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</si>
  <si>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</si>
  <si>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</si>
  <si>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</si>
  <si>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Мытье  лестничных площадок и маршей нижних трех этажей (в доме без лифтов и мусоропровода)</t>
  </si>
  <si>
    <t>100 м2  убираемой  площади</t>
  </si>
  <si>
    <t>Протирка пыли  с колпаков  светильников (в подвалах, на чердаках и лестничных клетках)</t>
  </si>
  <si>
    <t>100 шт.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</si>
  <si>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</si>
  <si>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</si>
  <si>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</si>
  <si>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</si>
  <si>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</si>
  <si>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</si>
  <si>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Мытье и протирка легкодоступных стекол в окнах  в помещениях общего пользования</t>
  </si>
  <si>
    <t>100 м2 окон</t>
  </si>
  <si>
    <t>Мытье и протирка труднодоступных стекол в окнах  в помещениях общего пользования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</si>
  <si>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</si>
  <si>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</si>
  <si>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</si>
  <si>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</si>
  <si>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</si>
  <si>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</si>
  <si>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Влажная протирка стен (с моющим средством)</t>
  </si>
  <si>
    <t>100 кв. м стен</t>
  </si>
  <si>
    <t>Влажная протирка отопительных приборов (моющим средством)</t>
  </si>
  <si>
    <t>100 кв. м отопительных приборов</t>
  </si>
  <si>
    <t>Обметание пыли с потолков</t>
  </si>
  <si>
    <t>100 кв. м. потолков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</si>
  <si>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</si>
  <si>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</si>
  <si>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газонов средней засоренности от листьев, сучьев, мусора</t>
  </si>
  <si>
    <t>100 000 кв.м. территории</t>
  </si>
  <si>
    <t>Уборка газонов от случайного мусора</t>
  </si>
  <si>
    <t>100 000 м2</t>
  </si>
  <si>
    <t>Стрижка газонов</t>
  </si>
  <si>
    <t>на 100 кв.м.</t>
  </si>
  <si>
    <t>Заполнение песочницы песком</t>
  </si>
  <si>
    <t>песочница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</si>
  <si>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</si>
  <si>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</si>
  <si>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</si>
  <si>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Очистка территории с усовершенствованным покрытием 1 класса от наледи без обработки противогололедными реагентами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</si>
  <si>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</si>
  <si>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</si>
  <si>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</si>
  <si>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</si>
  <si>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</si>
  <si>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</si>
  <si>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</si>
  <si>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металлической решетки и приямка (в теплый период)</t>
  </si>
  <si>
    <t>1 приямок</t>
  </si>
  <si>
    <t>Очистка контейнерной площадки в холодный период</t>
  </si>
  <si>
    <t>Дератизация чердаков и подвалов с применением зоокумарина</t>
  </si>
  <si>
    <t>1000 м2  обрабатываемых  помещений</t>
  </si>
  <si>
    <t>Дезинсекция  подвалов</t>
  </si>
  <si>
    <t>Работа удалена! Кoнсeрвация/рaскoнсeрвация системы отопления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</si>
  <si>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</si>
  <si>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</si>
  <si>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</si>
  <si>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</si>
  <si>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</si>
  <si>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</si>
  <si>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</si>
  <si>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</si>
  <si>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</si>
  <si>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</si>
  <si>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</si>
  <si>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</si>
  <si>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</si>
  <si>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</si>
  <si>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Дворник 1 разряда</t>
  </si>
  <si>
    <t>чел.-час</t>
  </si>
  <si>
    <t>Дезинфектор 3 разряда</t>
  </si>
  <si>
    <t>Изолировщик на термоизоляции 4 разряда</t>
  </si>
  <si>
    <t>Каменщик 3 разряда</t>
  </si>
  <si>
    <t>Кровельщик по рулонным кровлям и по кровлям из штучных материалов 4 разряда</t>
  </si>
  <si>
    <t>Плотник 4 разряда</t>
  </si>
  <si>
    <t>Подсобный рабочий 1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</si>
  <si>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</si>
  <si>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</si>
  <si>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</si>
  <si>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</si>
  <si>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</si>
  <si>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</si>
  <si>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</si>
  <si>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</si>
  <si>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</si>
  <si>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</si>
  <si>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Стеклопротирщик 2 разряда</t>
  </si>
  <si>
    <t>Чистильщик дымоходов, боровок и топок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</si>
  <si>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</si>
  <si>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</si>
  <si>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</si>
  <si>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</si>
  <si>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</si>
  <si>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</si>
  <si>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Бензин</t>
  </si>
  <si>
    <t>т</t>
  </si>
  <si>
    <t>Болты с гайками и шайбами для санитарно-технических работ, диаметром 16 мм</t>
  </si>
  <si>
    <t>Ветошь</t>
  </si>
  <si>
    <t>кг</t>
  </si>
  <si>
    <t>Вода водопроводная</t>
  </si>
  <si>
    <t>м3</t>
  </si>
  <si>
    <t>Войлок строительный толщиной 15 мм</t>
  </si>
  <si>
    <t>м2</t>
  </si>
  <si>
    <t>Готовая смесь для уничтожения насекомых (порошок Абсолют Дуст)</t>
  </si>
  <si>
    <t>Зоокумарин</t>
  </si>
  <si>
    <t>Клей ALT</t>
  </si>
  <si>
    <t>Краски масляные земляные  МА-0115: мумия, сурик  железный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</si>
  <si>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</si>
  <si>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</si>
  <si>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Масло растительное</t>
  </si>
  <si>
    <t xml:space="preserve">Масса корундовая набивная марки МК-90                   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</si>
  <si>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</si>
  <si>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</si>
  <si>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</si>
  <si>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</si>
  <si>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</si>
  <si>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шт.</t>
  </si>
  <si>
    <t>Набивка сальников</t>
  </si>
  <si>
    <t>Олифа комбинированная К-3</t>
  </si>
  <si>
    <t>Очес льняной</t>
  </si>
  <si>
    <t xml:space="preserve">Песок природный для строительных работ средний </t>
  </si>
  <si>
    <t>Проволока стальная низкоуглеродистая разного  назначения оцинкованная диаметром 1,1 мм</t>
  </si>
  <si>
    <t>Прокладки из паронита марки ПМБ, толщиной 3 мм диаметром 300 мм</t>
  </si>
  <si>
    <t>Резина листовая вулканизованная цветная</t>
  </si>
  <si>
    <t>Ткань мешочная</t>
  </si>
  <si>
    <t>10 м2</t>
  </si>
  <si>
    <t>Шпагат бумажный влагопрочный одножильный 3,7 мм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</si>
  <si>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</si>
  <si>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</si>
  <si>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</si>
  <si>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</si>
  <si>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</si>
  <si>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</si>
  <si>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</si>
  <si>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</si>
  <si>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</si>
  <si>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</si>
  <si>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</si>
  <si>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Щетка д/пола 280 мм с черенком на резьбе 1,2 м.</t>
  </si>
  <si>
    <t xml:space="preserve">Щетка для мытья окон </t>
  </si>
  <si>
    <t>Машины/Механизмы</t>
  </si>
  <si>
    <t>Газонокосилка</t>
  </si>
  <si>
    <t>маш.-час</t>
  </si>
  <si>
    <t>Установки для гидравлических испытаний трубопроводов, давление нагнетания низкое 0,1 мПа (1 кгс/см2), высокое 10 мПа (100 кгс/см2)</t>
  </si>
  <si>
    <r>
      <t xml:space="preserve">Смета расходов. Список работ                                                                                                                                                                       Приложение №3 </t>
    </r>
    <r>
      <rPr>
        <b/>
        <sz val="14"/>
        <color indexed="10"/>
        <rFont val="Arial"/>
        <family val="2"/>
      </rPr>
      <t>к договору управления многоквартирным домом</t>
    </r>
  </si>
  <si>
    <t>0.00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</si>
</sst>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9"/>
      <name val="Arial"/>
      <family val="0"/>
    </font>
    <font>
      <b/>
      <sz val="9"/>
      <color indexed="17"/>
      <name val="Arial"/>
      <family val="0"/>
    </font>
    <font>
      <sz val="18"/>
      <color indexed="13"/>
      <name val="Calibri Light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3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6" fillId="34" borderId="32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3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5" xfId="0" applyFont="1" applyFill="1" applyBorder="1" applyAlignment="1" applyProtection="1">
      <alignment horizontal="left" vertical="center" wrapText="1"/>
      <protection/>
    </xf>
    <xf numFmtId="0" fontId="5" fillId="37" borderId="36" xfId="0" applyFont="1" applyFill="1" applyBorder="1" applyAlignment="1" applyProtection="1">
      <alignment horizontal="left" vertical="center" wrapText="1"/>
      <protection/>
    </xf>
    <xf numFmtId="4" fontId="5" fillId="37" borderId="36" xfId="0" applyNumberFormat="1" applyFont="1" applyFill="1" applyBorder="1" applyAlignment="1" applyProtection="1">
      <alignment horizontal="left" vertical="center" wrapText="1"/>
      <protection/>
    </xf>
    <xf numFmtId="4" fontId="5" fillId="37" borderId="37" xfId="0" applyNumberFormat="1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4" fontId="13" fillId="0" borderId="3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8"/>
  <sheetViews>
    <sheetView tabSelected="1" workbookViewId="0" topLeftCell="D61">
      <selection activeCell="P70" sqref="P7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56" t="s">
        <v>210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24.75" customHeight="1">
      <c r="B4" s="44" t="s">
        <v>13</v>
      </c>
      <c r="C4" s="36"/>
      <c r="D4" s="36"/>
      <c r="E4" s="36"/>
      <c r="F4" s="36"/>
      <c r="G4" s="45"/>
      <c r="H4" s="45"/>
      <c r="I4" s="45"/>
      <c r="J4" s="45"/>
      <c r="K4" s="45"/>
      <c r="L4" s="46" t="s">
        <v>14</v>
      </c>
      <c r="M4" s="46"/>
      <c r="N4" s="16">
        <v>8620</v>
      </c>
    </row>
    <row r="5" spans="2:14" ht="21.75" customHeight="1">
      <c r="B5" s="47" t="s">
        <v>15</v>
      </c>
      <c r="C5" s="48"/>
      <c r="D5" s="48"/>
      <c r="E5" s="48"/>
      <c r="F5" s="48"/>
      <c r="G5" s="49"/>
      <c r="H5" s="49"/>
      <c r="I5" s="49"/>
      <c r="J5" s="49"/>
      <c r="K5" s="49"/>
      <c r="L5" s="49"/>
      <c r="M5" s="49"/>
      <c r="N5" s="50"/>
    </row>
    <row r="6" spans="2:14" ht="24">
      <c r="B6" s="8">
        <v>1</v>
      </c>
      <c r="C6" s="6" t="s">
        <v>16</v>
      </c>
      <c r="D6" s="6" t="s">
        <v>17</v>
      </c>
      <c r="E6" s="10">
        <v>8.62</v>
      </c>
      <c r="F6" s="10">
        <v>2</v>
      </c>
      <c r="G6" s="13">
        <f>0.206*E6*F6</f>
        <v>3.5514399999999995</v>
      </c>
      <c r="H6" s="13">
        <v>70880.74</v>
      </c>
      <c r="I6" s="13">
        <f aca="true" t="shared" si="0" ref="I6:I24">0*E6*F6</f>
        <v>0</v>
      </c>
      <c r="J6" s="13">
        <f>0.196112*E6*F6</f>
        <v>3.38097088</v>
      </c>
      <c r="K6" s="13">
        <f>543.59483509989*E6*F6</f>
        <v>9371.574957122102</v>
      </c>
      <c r="L6" s="13">
        <f>0.0412*E6*F6</f>
        <v>0.7102879999999999</v>
      </c>
      <c r="M6" s="13">
        <v>80103.78</v>
      </c>
      <c r="N6" s="17">
        <f>IF(N4&gt;0,(M6/$N$4/12),0)</f>
        <v>0.7743984918793503</v>
      </c>
    </row>
    <row r="7" spans="2:14" ht="24">
      <c r="B7" s="9">
        <v>2</v>
      </c>
      <c r="C7" s="7" t="s">
        <v>18</v>
      </c>
      <c r="D7" s="7" t="s">
        <v>17</v>
      </c>
      <c r="E7" s="11">
        <v>8.62</v>
      </c>
      <c r="F7" s="11">
        <v>2</v>
      </c>
      <c r="G7" s="14">
        <f>0.0039*E7*F7</f>
        <v>0.06723599999999999</v>
      </c>
      <c r="H7" s="14">
        <f aca="true" t="shared" si="1" ref="H7:H14">0*E7*F7</f>
        <v>0</v>
      </c>
      <c r="I7" s="14">
        <f t="shared" si="0"/>
        <v>0</v>
      </c>
      <c r="J7" s="14">
        <f>0.0037128*E7*F7</f>
        <v>0.06400867199999999</v>
      </c>
      <c r="K7" s="14">
        <f>0.000989664*E7*F7</f>
        <v>0.017061807359999997</v>
      </c>
      <c r="L7" s="14">
        <f>0.00078*E7*F7</f>
        <v>0.013447199999999998</v>
      </c>
      <c r="M7" s="14">
        <f aca="true" t="shared" si="2" ref="M7:M35">SUM(G7:L7)</f>
        <v>0.16175367935999996</v>
      </c>
      <c r="N7" s="18">
        <f>IF(N4&gt;0,(M7/$N$4/12),0)</f>
        <v>1.5637439999999995E-06</v>
      </c>
    </row>
    <row r="8" spans="2:14" ht="24">
      <c r="B8" s="9">
        <v>3</v>
      </c>
      <c r="C8" s="7" t="s">
        <v>19</v>
      </c>
      <c r="D8" s="7" t="s">
        <v>17</v>
      </c>
      <c r="E8" s="11">
        <v>8.62</v>
      </c>
      <c r="F8" s="11">
        <v>2</v>
      </c>
      <c r="G8" s="14">
        <v>101875.54</v>
      </c>
      <c r="H8" s="14">
        <f t="shared" si="1"/>
        <v>0</v>
      </c>
      <c r="I8" s="14">
        <f t="shared" si="0"/>
        <v>0</v>
      </c>
      <c r="J8" s="14">
        <f>5623.063134696*E8*F8</f>
        <v>96941.60844215903</v>
      </c>
      <c r="K8" s="14">
        <f>1498.8534675005*E8*F8</f>
        <v>25840.23377970862</v>
      </c>
      <c r="L8" s="14">
        <f>1181.3157846*E8*F8</f>
        <v>20365.884126503996</v>
      </c>
      <c r="M8" s="14">
        <v>245088.09</v>
      </c>
      <c r="N8" s="18">
        <f>IF(N4&gt;0,(M8/$N$4/12),0)</f>
        <v>2.3693744199535964</v>
      </c>
    </row>
    <row r="9" spans="2:14" ht="24">
      <c r="B9" s="9">
        <v>4</v>
      </c>
      <c r="C9" s="7" t="s">
        <v>20</v>
      </c>
      <c r="D9" s="7" t="s">
        <v>17</v>
      </c>
      <c r="E9" s="11">
        <v>8.62</v>
      </c>
      <c r="F9" s="11">
        <v>2</v>
      </c>
      <c r="G9" s="14">
        <v>25988.66</v>
      </c>
      <c r="H9" s="14">
        <f t="shared" si="1"/>
        <v>0</v>
      </c>
      <c r="I9" s="14">
        <f t="shared" si="0"/>
        <v>0</v>
      </c>
      <c r="J9" s="14">
        <v>24741.2</v>
      </c>
      <c r="K9" s="14">
        <v>6594.88</v>
      </c>
      <c r="L9" s="14">
        <v>5197.73</v>
      </c>
      <c r="M9" s="14">
        <f t="shared" si="2"/>
        <v>62522.47</v>
      </c>
      <c r="N9" s="18">
        <f>IF(N4&gt;0,(M9/$N$4/12),0)</f>
        <v>0.6044322312451663</v>
      </c>
    </row>
    <row r="10" spans="2:14" ht="12">
      <c r="B10" s="9">
        <v>5</v>
      </c>
      <c r="C10" s="7" t="s">
        <v>21</v>
      </c>
      <c r="D10" s="7" t="s">
        <v>22</v>
      </c>
      <c r="E10" s="11">
        <v>9.8</v>
      </c>
      <c r="F10" s="11">
        <v>2</v>
      </c>
      <c r="G10" s="14">
        <v>24818.87</v>
      </c>
      <c r="H10" s="14">
        <f t="shared" si="1"/>
        <v>0</v>
      </c>
      <c r="I10" s="14">
        <f t="shared" si="0"/>
        <v>0</v>
      </c>
      <c r="J10" s="14">
        <v>23627.56</v>
      </c>
      <c r="K10" s="14">
        <v>6298.04</v>
      </c>
      <c r="L10" s="14">
        <v>4963.77</v>
      </c>
      <c r="M10" s="14">
        <f t="shared" si="2"/>
        <v>59708.240000000005</v>
      </c>
      <c r="N10" s="18">
        <f>IF(N4&gt;0,(M10/$N$4/12),0)</f>
        <v>0.5772258313998454</v>
      </c>
    </row>
    <row r="11" spans="2:14" ht="24">
      <c r="B11" s="9">
        <v>6</v>
      </c>
      <c r="C11" s="7" t="s">
        <v>23</v>
      </c>
      <c r="D11" s="7" t="s">
        <v>17</v>
      </c>
      <c r="E11" s="11">
        <v>8.62</v>
      </c>
      <c r="F11" s="11">
        <v>2</v>
      </c>
      <c r="G11" s="14">
        <v>41581.85</v>
      </c>
      <c r="H11" s="14">
        <f t="shared" si="1"/>
        <v>0</v>
      </c>
      <c r="I11" s="14">
        <f t="shared" si="0"/>
        <v>0</v>
      </c>
      <c r="J11" s="14">
        <v>39585.92</v>
      </c>
      <c r="K11" s="14">
        <v>10551.81</v>
      </c>
      <c r="L11" s="14">
        <v>8316.37</v>
      </c>
      <c r="M11" s="14">
        <f t="shared" si="2"/>
        <v>100035.94999999998</v>
      </c>
      <c r="N11" s="18">
        <f>IF(N4&gt;0,(M11/$N$4/12),0)</f>
        <v>0.9670915506573857</v>
      </c>
    </row>
    <row r="12" spans="2:14" ht="24">
      <c r="B12" s="9">
        <v>7</v>
      </c>
      <c r="C12" s="7" t="s">
        <v>24</v>
      </c>
      <c r="D12" s="7" t="s">
        <v>25</v>
      </c>
      <c r="E12" s="11">
        <v>1</v>
      </c>
      <c r="F12" s="11">
        <v>2</v>
      </c>
      <c r="G12" s="14">
        <f>0.026*E12*F12</f>
        <v>0.052</v>
      </c>
      <c r="H12" s="14">
        <f t="shared" si="1"/>
        <v>0</v>
      </c>
      <c r="I12" s="14">
        <f t="shared" si="0"/>
        <v>0</v>
      </c>
      <c r="J12" s="14">
        <f>0.024752*E12*F12</f>
        <v>0.049504</v>
      </c>
      <c r="K12" s="14">
        <f>0.00659776*E12*F12</f>
        <v>0.01319552</v>
      </c>
      <c r="L12" s="14">
        <f>0.0052*E12*F12</f>
        <v>0.0104</v>
      </c>
      <c r="M12" s="14">
        <f t="shared" si="2"/>
        <v>0.12509952</v>
      </c>
      <c r="N12" s="18">
        <f>IF(N4&gt;0,(M12/$N$4/12),0)</f>
        <v>1.2093921113689094E-06</v>
      </c>
    </row>
    <row r="13" spans="2:14" ht="24">
      <c r="B13" s="9">
        <v>8</v>
      </c>
      <c r="C13" s="7" t="s">
        <v>26</v>
      </c>
      <c r="D13" s="7" t="s">
        <v>27</v>
      </c>
      <c r="E13" s="11">
        <v>1.2</v>
      </c>
      <c r="F13" s="11">
        <v>2</v>
      </c>
      <c r="G13" s="14">
        <v>1.44</v>
      </c>
      <c r="H13" s="14">
        <f t="shared" si="1"/>
        <v>0</v>
      </c>
      <c r="I13" s="14">
        <f t="shared" si="0"/>
        <v>0</v>
      </c>
      <c r="J13" s="14">
        <v>1.37</v>
      </c>
      <c r="K13" s="14">
        <v>0.37</v>
      </c>
      <c r="L13" s="14">
        <v>0.29</v>
      </c>
      <c r="M13" s="14">
        <v>3.46</v>
      </c>
      <c r="N13" s="18">
        <f>IF(N4&gt;0,(M13/$N$4/12),0)</f>
        <v>3.344934261407579E-05</v>
      </c>
    </row>
    <row r="14" spans="2:14" ht="12">
      <c r="B14" s="9">
        <v>9</v>
      </c>
      <c r="C14" s="7" t="s">
        <v>28</v>
      </c>
      <c r="D14" s="7" t="s">
        <v>29</v>
      </c>
      <c r="E14" s="11">
        <v>275</v>
      </c>
      <c r="F14" s="11">
        <v>2</v>
      </c>
      <c r="G14" s="14">
        <v>4.79</v>
      </c>
      <c r="H14" s="14">
        <f t="shared" si="1"/>
        <v>0</v>
      </c>
      <c r="I14" s="14">
        <f t="shared" si="0"/>
        <v>0</v>
      </c>
      <c r="J14" s="14">
        <v>4.56</v>
      </c>
      <c r="K14" s="14">
        <v>1.21</v>
      </c>
      <c r="L14" s="14">
        <v>0.96</v>
      </c>
      <c r="M14" s="14">
        <v>11.51</v>
      </c>
      <c r="N14" s="18">
        <f>IF(N4&gt;0,(M14/$N$4/12),0)</f>
        <v>0.00011127223511214231</v>
      </c>
    </row>
    <row r="15" spans="2:14" ht="36">
      <c r="B15" s="9">
        <v>10</v>
      </c>
      <c r="C15" s="7" t="s">
        <v>30</v>
      </c>
      <c r="D15" s="7" t="s">
        <v>31</v>
      </c>
      <c r="E15" s="11">
        <v>7.64</v>
      </c>
      <c r="F15" s="11">
        <v>2</v>
      </c>
      <c r="G15" s="14">
        <f>9888.065*E15*F15</f>
        <v>151089.6332</v>
      </c>
      <c r="H15" s="14">
        <v>18690.7</v>
      </c>
      <c r="I15" s="14">
        <f t="shared" si="0"/>
        <v>0</v>
      </c>
      <c r="J15" s="14">
        <f>9413.43788*E15*F15</f>
        <v>143837.3308064</v>
      </c>
      <c r="K15" s="14">
        <v>40770.3</v>
      </c>
      <c r="L15" s="14">
        <f>1977.613*E15*F15</f>
        <v>30217.926639999998</v>
      </c>
      <c r="M15" s="14">
        <f t="shared" si="2"/>
        <v>384605.89064640005</v>
      </c>
      <c r="N15" s="18">
        <f>IF(N4&gt;0,(M15/$N$4/12),0)</f>
        <v>3.7181543952668217</v>
      </c>
    </row>
    <row r="16" spans="2:14" ht="24">
      <c r="B16" s="9">
        <v>11</v>
      </c>
      <c r="C16" s="7" t="s">
        <v>32</v>
      </c>
      <c r="D16" s="7" t="s">
        <v>17</v>
      </c>
      <c r="E16" s="11">
        <v>8.62</v>
      </c>
      <c r="F16" s="11">
        <v>2</v>
      </c>
      <c r="G16" s="14">
        <v>38700.96</v>
      </c>
      <c r="H16" s="14">
        <f>0*E16*F16</f>
        <v>0</v>
      </c>
      <c r="I16" s="14">
        <f t="shared" si="0"/>
        <v>0</v>
      </c>
      <c r="J16" s="14">
        <v>36843.31</v>
      </c>
      <c r="K16" s="14">
        <v>9820.75</v>
      </c>
      <c r="L16" s="14">
        <v>7740.19</v>
      </c>
      <c r="M16" s="14">
        <f t="shared" si="2"/>
        <v>93105.20999999999</v>
      </c>
      <c r="N16" s="18">
        <f>IF(N4&gt;0,(M16/$N$4/12),0)</f>
        <v>0.9000890371229698</v>
      </c>
    </row>
    <row r="17" spans="2:14" ht="24">
      <c r="B17" s="9">
        <v>12</v>
      </c>
      <c r="C17" s="7" t="s">
        <v>33</v>
      </c>
      <c r="D17" s="7" t="s">
        <v>17</v>
      </c>
      <c r="E17" s="11">
        <v>8.62</v>
      </c>
      <c r="F17" s="11">
        <v>2</v>
      </c>
      <c r="G17" s="14">
        <f>2244.816*E17*F17</f>
        <v>38700.627839999994</v>
      </c>
      <c r="H17" s="14">
        <f>0*E17*F17</f>
        <v>0</v>
      </c>
      <c r="I17" s="14">
        <f t="shared" si="0"/>
        <v>0</v>
      </c>
      <c r="J17" s="14">
        <v>36843.31</v>
      </c>
      <c r="K17" s="14">
        <v>9820.75</v>
      </c>
      <c r="L17" s="14">
        <v>7740.19</v>
      </c>
      <c r="M17" s="14">
        <v>93105.21</v>
      </c>
      <c r="N17" s="18">
        <f>IF(N4&gt;0,(M17/$N$4/12),0)</f>
        <v>0.90008903712297</v>
      </c>
    </row>
    <row r="18" spans="2:14" ht="24">
      <c r="B18" s="9">
        <v>13</v>
      </c>
      <c r="C18" s="7" t="s">
        <v>34</v>
      </c>
      <c r="D18" s="7" t="s">
        <v>35</v>
      </c>
      <c r="E18" s="11">
        <v>0.3</v>
      </c>
      <c r="F18" s="11">
        <v>2</v>
      </c>
      <c r="G18" s="14">
        <f>0.09*E18*F18</f>
        <v>0.054</v>
      </c>
      <c r="H18" s="14">
        <f>0*E18*F18</f>
        <v>0</v>
      </c>
      <c r="I18" s="14">
        <f t="shared" si="0"/>
        <v>0</v>
      </c>
      <c r="J18" s="14">
        <f>0.08568*E18*F18</f>
        <v>0.051408</v>
      </c>
      <c r="K18" s="14">
        <f>0.0228384*E18*F18</f>
        <v>0.013703039999999998</v>
      </c>
      <c r="L18" s="14">
        <f>0.018*E18*F18</f>
        <v>0.010799999999999999</v>
      </c>
      <c r="M18" s="14">
        <f t="shared" si="2"/>
        <v>0.12991104</v>
      </c>
      <c r="N18" s="18">
        <f>IF(N4&gt;0,(M18/$N$4/12),0)</f>
        <v>1.2559071925754062E-06</v>
      </c>
    </row>
    <row r="19" spans="2:14" ht="12">
      <c r="B19" s="9">
        <v>14</v>
      </c>
      <c r="C19" s="7" t="s">
        <v>36</v>
      </c>
      <c r="D19" s="7" t="s">
        <v>37</v>
      </c>
      <c r="E19" s="11">
        <v>76.4</v>
      </c>
      <c r="F19" s="11">
        <v>2</v>
      </c>
      <c r="G19" s="14">
        <f>0.05*E19*F19</f>
        <v>7.640000000000001</v>
      </c>
      <c r="H19" s="14">
        <f>626.683512*E19*F19</f>
        <v>95757.2406336</v>
      </c>
      <c r="I19" s="14">
        <f t="shared" si="0"/>
        <v>0</v>
      </c>
      <c r="J19" s="14">
        <f>0.0476*E19*F19</f>
        <v>7.273280000000001</v>
      </c>
      <c r="K19" s="14">
        <f>81.48154456*E19*F19</f>
        <v>12450.380008768001</v>
      </c>
      <c r="L19" s="14">
        <f>0.01*E19*F19</f>
        <v>1.5280000000000002</v>
      </c>
      <c r="M19" s="14">
        <v>106420.63</v>
      </c>
      <c r="N19" s="18">
        <f>IF(N4&gt;0,(M19/$N$4/12),0)</f>
        <v>1.0288150618716163</v>
      </c>
    </row>
    <row r="20" spans="2:14" ht="12">
      <c r="B20" s="9">
        <v>15</v>
      </c>
      <c r="C20" s="7" t="s">
        <v>38</v>
      </c>
      <c r="D20" s="7" t="s">
        <v>37</v>
      </c>
      <c r="E20" s="11">
        <v>76.4</v>
      </c>
      <c r="F20" s="11">
        <v>2</v>
      </c>
      <c r="G20" s="14">
        <f>0.02*E20*F20</f>
        <v>3.0560000000000005</v>
      </c>
      <c r="H20" s="14">
        <f aca="true" t="shared" si="3" ref="H20:H25">0*E20*F20</f>
        <v>0</v>
      </c>
      <c r="I20" s="14">
        <f t="shared" si="0"/>
        <v>0</v>
      </c>
      <c r="J20" s="14">
        <f>0.01904*E20*F20</f>
        <v>2.9093120000000003</v>
      </c>
      <c r="K20" s="14">
        <f>0.0050752*E20*F20</f>
        <v>0.77549056</v>
      </c>
      <c r="L20" s="14">
        <f>0.004*E20*F20</f>
        <v>0.6112000000000001</v>
      </c>
      <c r="M20" s="14">
        <f t="shared" si="2"/>
        <v>7.352002560000001</v>
      </c>
      <c r="N20" s="18">
        <f>IF(N4&gt;0,(M20/$N$4/12),0)</f>
        <v>7.10750440835267E-05</v>
      </c>
    </row>
    <row r="21" spans="2:14" ht="12">
      <c r="B21" s="9">
        <v>16</v>
      </c>
      <c r="C21" s="7" t="s">
        <v>39</v>
      </c>
      <c r="D21" s="7" t="s">
        <v>40</v>
      </c>
      <c r="E21" s="11">
        <v>10</v>
      </c>
      <c r="F21" s="11">
        <v>2</v>
      </c>
      <c r="G21" s="14">
        <f>0.0025333333*E21*F21</f>
        <v>0.050666666</v>
      </c>
      <c r="H21" s="14">
        <f t="shared" si="3"/>
        <v>0</v>
      </c>
      <c r="I21" s="14">
        <f t="shared" si="0"/>
        <v>0</v>
      </c>
      <c r="J21" s="14">
        <f>0.0024117333016*E21*F21</f>
        <v>0.048234666031999995</v>
      </c>
      <c r="K21" s="14">
        <f>0.000642858658208*E21*F21</f>
        <v>0.01285717316416</v>
      </c>
      <c r="L21" s="14">
        <f>0.00050666666*E21*F21</f>
        <v>0.0101333332</v>
      </c>
      <c r="M21" s="14">
        <f t="shared" si="2"/>
        <v>0.12189183839616</v>
      </c>
      <c r="N21" s="18">
        <f>IF(N4&gt;0,(M21/$N$4/12),0)</f>
        <v>1.178382041726218E-06</v>
      </c>
    </row>
    <row r="22" spans="2:14" ht="24">
      <c r="B22" s="9">
        <v>17</v>
      </c>
      <c r="C22" s="7" t="s">
        <v>41</v>
      </c>
      <c r="D22" s="7" t="s">
        <v>17</v>
      </c>
      <c r="E22" s="11">
        <v>8.62</v>
      </c>
      <c r="F22" s="11">
        <v>2</v>
      </c>
      <c r="G22" s="14">
        <v>1.72</v>
      </c>
      <c r="H22" s="14">
        <f t="shared" si="3"/>
        <v>0</v>
      </c>
      <c r="I22" s="14">
        <f t="shared" si="0"/>
        <v>0</v>
      </c>
      <c r="J22" s="14">
        <v>1.64</v>
      </c>
      <c r="K22" s="14">
        <v>0.44</v>
      </c>
      <c r="L22" s="14">
        <v>0.34</v>
      </c>
      <c r="M22" s="14">
        <v>4.15</v>
      </c>
      <c r="N22" s="18">
        <f>IF(N4&gt;0,(M22/$N$4/12),0)</f>
        <v>4.011987625676721E-05</v>
      </c>
    </row>
    <row r="23" spans="2:14" ht="36">
      <c r="B23" s="9">
        <v>18</v>
      </c>
      <c r="C23" s="7" t="s">
        <v>42</v>
      </c>
      <c r="D23" s="7" t="s">
        <v>43</v>
      </c>
      <c r="E23" s="11">
        <v>4.9</v>
      </c>
      <c r="F23" s="11">
        <v>2</v>
      </c>
      <c r="G23" s="14">
        <v>0.39</v>
      </c>
      <c r="H23" s="14">
        <f t="shared" si="3"/>
        <v>0</v>
      </c>
      <c r="I23" s="14">
        <f t="shared" si="0"/>
        <v>0</v>
      </c>
      <c r="J23" s="14">
        <v>0.37</v>
      </c>
      <c r="K23" s="14">
        <v>0.1</v>
      </c>
      <c r="L23" s="14">
        <v>0.08</v>
      </c>
      <c r="M23" s="14">
        <f t="shared" si="2"/>
        <v>0.94</v>
      </c>
      <c r="N23" s="18">
        <f>IF(N4&gt;0,(M23/$N$4/12),0)</f>
        <v>9.08739365815932E-06</v>
      </c>
    </row>
    <row r="24" spans="2:14" ht="12">
      <c r="B24" s="9">
        <v>19</v>
      </c>
      <c r="C24" s="7" t="s">
        <v>44</v>
      </c>
      <c r="D24" s="7" t="s">
        <v>45</v>
      </c>
      <c r="E24" s="11">
        <v>10</v>
      </c>
      <c r="F24" s="11">
        <v>2</v>
      </c>
      <c r="G24" s="14">
        <v>42758.76</v>
      </c>
      <c r="H24" s="14">
        <f t="shared" si="3"/>
        <v>0</v>
      </c>
      <c r="I24" s="14">
        <f t="shared" si="0"/>
        <v>0</v>
      </c>
      <c r="J24" s="14">
        <v>40706.34</v>
      </c>
      <c r="K24" s="14">
        <v>10850.46</v>
      </c>
      <c r="L24" s="14">
        <v>8551.75</v>
      </c>
      <c r="M24" s="14">
        <v>102867.32</v>
      </c>
      <c r="N24" s="18">
        <f>IF(N4&gt;0,(M24/$N$4/12),0)</f>
        <v>0.9944636504253674</v>
      </c>
    </row>
    <row r="25" spans="2:14" ht="24">
      <c r="B25" s="9">
        <v>20</v>
      </c>
      <c r="C25" s="7" t="s">
        <v>46</v>
      </c>
      <c r="D25" s="7" t="s">
        <v>47</v>
      </c>
      <c r="E25" s="11">
        <v>76.4</v>
      </c>
      <c r="F25" s="11">
        <v>1</v>
      </c>
      <c r="G25" s="14">
        <v>44919.38</v>
      </c>
      <c r="H25" s="14">
        <f t="shared" si="3"/>
        <v>0</v>
      </c>
      <c r="I25" s="14">
        <f>84.406575*E25*F25</f>
        <v>6448.662330000001</v>
      </c>
      <c r="J25" s="14">
        <v>42763.25</v>
      </c>
      <c r="K25" s="14">
        <v>12237.07</v>
      </c>
      <c r="L25" s="14">
        <v>8983.88</v>
      </c>
      <c r="M25" s="14">
        <f t="shared" si="2"/>
        <v>115352.24233000001</v>
      </c>
      <c r="N25" s="18">
        <f>IF(N4&gt;0,(M25/$N$4/12),0)</f>
        <v>1.1151608887277649</v>
      </c>
    </row>
    <row r="26" spans="2:14" ht="24">
      <c r="B26" s="9">
        <v>21</v>
      </c>
      <c r="C26" s="7" t="s">
        <v>48</v>
      </c>
      <c r="D26" s="7" t="s">
        <v>47</v>
      </c>
      <c r="E26" s="11">
        <v>76.4</v>
      </c>
      <c r="F26" s="11">
        <v>1</v>
      </c>
      <c r="G26" s="14">
        <v>42060.87</v>
      </c>
      <c r="H26" s="14">
        <v>610.08</v>
      </c>
      <c r="I26" s="14">
        <f>0*E26*F26</f>
        <v>0</v>
      </c>
      <c r="J26" s="14">
        <v>40041.95</v>
      </c>
      <c r="K26" s="14">
        <v>10752.68</v>
      </c>
      <c r="L26" s="14">
        <v>8412.17</v>
      </c>
      <c r="M26" s="14">
        <f t="shared" si="2"/>
        <v>101877.74999999999</v>
      </c>
      <c r="N26" s="18">
        <f>IF(N4&gt;0,(M26/$N$4/12),0)</f>
        <v>0.9848970417633409</v>
      </c>
    </row>
    <row r="27" spans="2:14" ht="24">
      <c r="B27" s="9">
        <v>22</v>
      </c>
      <c r="C27" s="7" t="s">
        <v>49</v>
      </c>
      <c r="D27" s="7" t="s">
        <v>47</v>
      </c>
      <c r="E27" s="11">
        <v>76.4</v>
      </c>
      <c r="F27" s="11">
        <v>1</v>
      </c>
      <c r="G27" s="14">
        <v>17695.51</v>
      </c>
      <c r="H27" s="14">
        <f>0*E27*F27</f>
        <v>0</v>
      </c>
      <c r="I27" s="14">
        <f>84.406575*E27*F27</f>
        <v>6448.662330000001</v>
      </c>
      <c r="J27" s="14">
        <v>16846.13</v>
      </c>
      <c r="K27" s="14">
        <v>5328.74</v>
      </c>
      <c r="L27" s="14">
        <v>3539.1</v>
      </c>
      <c r="M27" s="14">
        <v>49858.15</v>
      </c>
      <c r="N27" s="18">
        <f>IF(N4&gt;0,(M27/$N$4/12),0)</f>
        <v>0.4820006767208043</v>
      </c>
    </row>
    <row r="28" spans="2:14" ht="24">
      <c r="B28" s="9">
        <v>23</v>
      </c>
      <c r="C28" s="7" t="s">
        <v>50</v>
      </c>
      <c r="D28" s="7" t="s">
        <v>47</v>
      </c>
      <c r="E28" s="11">
        <v>76.4</v>
      </c>
      <c r="F28" s="11">
        <v>1</v>
      </c>
      <c r="G28" s="14">
        <v>4900.11</v>
      </c>
      <c r="H28" s="14">
        <f>0*E28*F28</f>
        <v>0</v>
      </c>
      <c r="I28" s="14">
        <f aca="true" t="shared" si="4" ref="I28:I35">0*E28*F28</f>
        <v>0</v>
      </c>
      <c r="J28" s="14">
        <v>4664.91</v>
      </c>
      <c r="K28" s="14">
        <v>1243.45</v>
      </c>
      <c r="L28" s="14">
        <v>980.02</v>
      </c>
      <c r="M28" s="14">
        <f t="shared" si="2"/>
        <v>11788.490000000002</v>
      </c>
      <c r="N28" s="18">
        <f>IF(N4&gt;0,(M28/$N$4/12),0)</f>
        <v>0.11396452049497295</v>
      </c>
    </row>
    <row r="29" spans="2:14" ht="24">
      <c r="B29" s="9">
        <v>24</v>
      </c>
      <c r="C29" s="7" t="s">
        <v>51</v>
      </c>
      <c r="D29" s="7" t="s">
        <v>52</v>
      </c>
      <c r="E29" s="11">
        <v>265</v>
      </c>
      <c r="F29" s="11">
        <v>1</v>
      </c>
      <c r="G29" s="14">
        <v>63938.37</v>
      </c>
      <c r="H29" s="14">
        <f>0*E29*F29</f>
        <v>0</v>
      </c>
      <c r="I29" s="14">
        <f t="shared" si="4"/>
        <v>0</v>
      </c>
      <c r="J29" s="14">
        <v>60869.32</v>
      </c>
      <c r="K29" s="14">
        <v>16225</v>
      </c>
      <c r="L29" s="14">
        <v>12787.67</v>
      </c>
      <c r="M29" s="14">
        <f t="shared" si="2"/>
        <v>153820.36000000002</v>
      </c>
      <c r="N29" s="18">
        <f>IF(N4&gt;0,(M29/$N$4/12),0)</f>
        <v>1.4870491105955146</v>
      </c>
    </row>
    <row r="30" spans="2:14" ht="24">
      <c r="B30" s="9">
        <v>25</v>
      </c>
      <c r="C30" s="7" t="s">
        <v>53</v>
      </c>
      <c r="D30" s="7" t="s">
        <v>54</v>
      </c>
      <c r="E30" s="11">
        <v>0</v>
      </c>
      <c r="F30" s="11">
        <v>1</v>
      </c>
      <c r="G30" s="14">
        <f>0.72*E30*F30</f>
        <v>0</v>
      </c>
      <c r="H30" s="14">
        <f>646.38520674*E30*F30</f>
        <v>0</v>
      </c>
      <c r="I30" s="14">
        <f t="shared" si="4"/>
        <v>0</v>
      </c>
      <c r="J30" s="14">
        <f>0.68544*E30*F30</f>
        <v>0</v>
      </c>
      <c r="K30" s="14">
        <f>84.2127840762*E30*F30</f>
        <v>0</v>
      </c>
      <c r="L30" s="14">
        <f>0.144*E30*F30</f>
        <v>0</v>
      </c>
      <c r="M30" s="14">
        <f t="shared" si="2"/>
        <v>0</v>
      </c>
      <c r="N30" s="18">
        <f>IF(N4&gt;0,(M30/$N$4/12),0)</f>
        <v>0</v>
      </c>
    </row>
    <row r="31" spans="2:14" ht="24">
      <c r="B31" s="9">
        <v>26</v>
      </c>
      <c r="C31" s="7" t="s">
        <v>55</v>
      </c>
      <c r="D31" s="7" t="s">
        <v>56</v>
      </c>
      <c r="E31" s="11">
        <v>0</v>
      </c>
      <c r="F31" s="11">
        <v>1</v>
      </c>
      <c r="G31" s="14">
        <f>0.39*E31*F31</f>
        <v>0</v>
      </c>
      <c r="H31" s="14">
        <f>462.7601433*E31*F31</f>
        <v>0</v>
      </c>
      <c r="I31" s="14">
        <f t="shared" si="4"/>
        <v>0</v>
      </c>
      <c r="J31" s="14">
        <f>0.37128*E31*F31</f>
        <v>0</v>
      </c>
      <c r="K31" s="14">
        <f>60.257785029*E31*F31</f>
        <v>0</v>
      </c>
      <c r="L31" s="14">
        <f>0.078*E31*F31</f>
        <v>0</v>
      </c>
      <c r="M31" s="14">
        <f t="shared" si="2"/>
        <v>0</v>
      </c>
      <c r="N31" s="18">
        <f>IF(N4&gt;0,(M31/$N$4/12),0)</f>
        <v>0</v>
      </c>
    </row>
    <row r="32" spans="2:14" ht="24">
      <c r="B32" s="9">
        <v>27</v>
      </c>
      <c r="C32" s="7" t="s">
        <v>57</v>
      </c>
      <c r="D32" s="7" t="s">
        <v>58</v>
      </c>
      <c r="E32" s="11">
        <v>5.4</v>
      </c>
      <c r="F32" s="11">
        <v>1</v>
      </c>
      <c r="G32" s="14">
        <v>161626.75</v>
      </c>
      <c r="H32" s="14">
        <f>0*E32*F32</f>
        <v>0</v>
      </c>
      <c r="I32" s="14">
        <f t="shared" si="4"/>
        <v>0</v>
      </c>
      <c r="J32" s="14">
        <v>153868.67</v>
      </c>
      <c r="K32" s="14">
        <v>41014.4</v>
      </c>
      <c r="L32" s="14">
        <v>32325.35</v>
      </c>
      <c r="M32" s="14">
        <f t="shared" si="2"/>
        <v>388835.17000000004</v>
      </c>
      <c r="N32" s="18">
        <f>IF(N4&gt;0,(M32/$N$4/12),0)</f>
        <v>3.759040699922661</v>
      </c>
    </row>
    <row r="33" spans="2:14" ht="84">
      <c r="B33" s="9">
        <v>28</v>
      </c>
      <c r="C33" s="7" t="s">
        <v>59</v>
      </c>
      <c r="D33" s="7" t="s">
        <v>60</v>
      </c>
      <c r="E33" s="11">
        <v>0</v>
      </c>
      <c r="F33" s="11">
        <v>12</v>
      </c>
      <c r="G33" s="14">
        <f>2387.8998*E33*F33</f>
        <v>0</v>
      </c>
      <c r="H33" s="14">
        <f>0*E33*F33</f>
        <v>0</v>
      </c>
      <c r="I33" s="14">
        <f t="shared" si="4"/>
        <v>0</v>
      </c>
      <c r="J33" s="14">
        <f>2273.2806096*E33*F33</f>
        <v>0</v>
      </c>
      <c r="K33" s="14">
        <f>605.953453248*E33*F33</f>
        <v>0</v>
      </c>
      <c r="L33" s="14">
        <f>477.57996*E33*F33</f>
        <v>0</v>
      </c>
      <c r="M33" s="14">
        <f t="shared" si="2"/>
        <v>0</v>
      </c>
      <c r="N33" s="18">
        <f>IF(N4&gt;0,(M33/$N$4/12),0)</f>
        <v>0</v>
      </c>
    </row>
    <row r="34" spans="2:14" ht="84">
      <c r="B34" s="9">
        <v>29</v>
      </c>
      <c r="C34" s="7" t="s">
        <v>61</v>
      </c>
      <c r="D34" s="7" t="s">
        <v>60</v>
      </c>
      <c r="E34" s="11">
        <v>7.6</v>
      </c>
      <c r="F34" s="11">
        <v>12</v>
      </c>
      <c r="G34" s="14">
        <v>9.76</v>
      </c>
      <c r="H34" s="14">
        <f>0*E34*F34</f>
        <v>0</v>
      </c>
      <c r="I34" s="14">
        <f t="shared" si="4"/>
        <v>0</v>
      </c>
      <c r="J34" s="14">
        <v>9.29</v>
      </c>
      <c r="K34" s="14">
        <v>2.48</v>
      </c>
      <c r="L34" s="14">
        <v>1.95</v>
      </c>
      <c r="M34" s="14">
        <f t="shared" si="2"/>
        <v>23.479999999999997</v>
      </c>
      <c r="N34" s="18">
        <f>IF(N4&gt;0,(M34/$N$4/12),0)</f>
        <v>0.0002269914926527455</v>
      </c>
    </row>
    <row r="35" spans="2:14" ht="84">
      <c r="B35" s="9">
        <v>30</v>
      </c>
      <c r="C35" s="7" t="s">
        <v>62</v>
      </c>
      <c r="D35" s="7" t="s">
        <v>60</v>
      </c>
      <c r="E35" s="11">
        <v>0</v>
      </c>
      <c r="F35" s="11">
        <v>0</v>
      </c>
      <c r="G35" s="14">
        <f>2749.7058*E35*F35</f>
        <v>0</v>
      </c>
      <c r="H35" s="14">
        <f>0*E35*F35</f>
        <v>0</v>
      </c>
      <c r="I35" s="14">
        <f t="shared" si="4"/>
        <v>0</v>
      </c>
      <c r="J35" s="14">
        <f>2617.7199216*E35*F35</f>
        <v>0</v>
      </c>
      <c r="K35" s="14">
        <f>697.765343808*E35*F35</f>
        <v>0</v>
      </c>
      <c r="L35" s="14">
        <f>549.94116*E35*F35</f>
        <v>0</v>
      </c>
      <c r="M35" s="14">
        <f t="shared" si="2"/>
        <v>0</v>
      </c>
      <c r="N35" s="18">
        <f>IF(N4&gt;0,(M35/$N$4/12),0)</f>
        <v>0</v>
      </c>
    </row>
    <row r="36" spans="2:14" ht="19.5" customHeight="1">
      <c r="B36" s="38" t="s">
        <v>63</v>
      </c>
      <c r="C36" s="39"/>
      <c r="D36" s="39"/>
      <c r="E36" s="39"/>
      <c r="F36" s="39"/>
      <c r="G36" s="15">
        <f aca="true" t="shared" si="5" ref="G36:N36">SUM(G6:G35)</f>
        <v>800688.4623826661</v>
      </c>
      <c r="H36" s="15">
        <f t="shared" si="5"/>
        <v>185938.76063359997</v>
      </c>
      <c r="I36" s="15">
        <f t="shared" si="5"/>
        <v>12897.324660000002</v>
      </c>
      <c r="J36" s="15">
        <f t="shared" si="5"/>
        <v>762211.815966777</v>
      </c>
      <c r="K36" s="15">
        <f t="shared" si="5"/>
        <v>229175.95105369922</v>
      </c>
      <c r="L36" s="15">
        <f t="shared" si="5"/>
        <v>160128.51503503724</v>
      </c>
      <c r="M36" s="15">
        <f t="shared" si="5"/>
        <v>2149146.3836350376</v>
      </c>
      <c r="N36" s="19">
        <f t="shared" si="5"/>
        <v>20.776743847979873</v>
      </c>
    </row>
    <row r="37" spans="2:14" ht="21.75" customHeight="1">
      <c r="B37" s="47" t="s">
        <v>64</v>
      </c>
      <c r="C37" s="48"/>
      <c r="D37" s="48"/>
      <c r="E37" s="48"/>
      <c r="F37" s="48"/>
      <c r="G37" s="49"/>
      <c r="H37" s="49"/>
      <c r="I37" s="49"/>
      <c r="J37" s="49"/>
      <c r="K37" s="49"/>
      <c r="L37" s="49"/>
      <c r="M37" s="49"/>
      <c r="N37" s="50"/>
    </row>
    <row r="38" spans="2:14" ht="36">
      <c r="B38" s="8">
        <v>31</v>
      </c>
      <c r="C38" s="6" t="s">
        <v>65</v>
      </c>
      <c r="D38" s="6" t="s">
        <v>66</v>
      </c>
      <c r="E38" s="10">
        <v>0.98</v>
      </c>
      <c r="F38" s="10">
        <v>247</v>
      </c>
      <c r="G38" s="13">
        <v>116347.42</v>
      </c>
      <c r="H38" s="13">
        <v>195.03</v>
      </c>
      <c r="I38" s="13">
        <f aca="true" t="shared" si="6" ref="I38:I54">0*E38*F38</f>
        <v>0</v>
      </c>
      <c r="J38" s="13">
        <v>110762.74</v>
      </c>
      <c r="K38" s="13">
        <v>29549.67</v>
      </c>
      <c r="L38" s="13">
        <v>23269.48</v>
      </c>
      <c r="M38" s="13">
        <f aca="true" t="shared" si="7" ref="M38:M68">SUM(G38:L38)</f>
        <v>280124.33999999997</v>
      </c>
      <c r="N38" s="17">
        <f>IF(N4&gt;0,(M38/$N$4/12),0)</f>
        <v>2.7080852668213455</v>
      </c>
    </row>
    <row r="39" spans="2:14" ht="24">
      <c r="B39" s="9">
        <v>32</v>
      </c>
      <c r="C39" s="7" t="s">
        <v>67</v>
      </c>
      <c r="D39" s="7" t="s">
        <v>68</v>
      </c>
      <c r="E39" s="11">
        <v>9.8</v>
      </c>
      <c r="F39" s="11">
        <v>24</v>
      </c>
      <c r="G39" s="14">
        <v>258761.72</v>
      </c>
      <c r="H39" s="14">
        <v>29363.556</v>
      </c>
      <c r="I39" s="14">
        <f t="shared" si="6"/>
        <v>0</v>
      </c>
      <c r="J39" s="14">
        <f>1047.37374*E39*F39</f>
        <v>246342.30364800003</v>
      </c>
      <c r="K39" s="14">
        <f>295.68725135352*E39*F39</f>
        <v>69545.64151834793</v>
      </c>
      <c r="L39" s="14">
        <f>220.0365*E39*F39</f>
        <v>51752.5848</v>
      </c>
      <c r="M39" s="14">
        <f t="shared" si="7"/>
        <v>655765.8059663479</v>
      </c>
      <c r="N39" s="18">
        <f>IF(N4&gt;0,(M39/$N$4/12),0)</f>
        <v>6.339576623804601</v>
      </c>
    </row>
    <row r="40" spans="2:14" ht="24">
      <c r="B40" s="9">
        <v>33</v>
      </c>
      <c r="C40" s="7" t="s">
        <v>69</v>
      </c>
      <c r="D40" s="7" t="s">
        <v>70</v>
      </c>
      <c r="E40" s="11">
        <v>0.9</v>
      </c>
      <c r="F40" s="11">
        <v>1</v>
      </c>
      <c r="G40" s="14">
        <f>440.073*E40*F40</f>
        <v>396.0657</v>
      </c>
      <c r="H40" s="14">
        <f>4.16523992304*E40*F40</f>
        <v>3.7487159307359996</v>
      </c>
      <c r="I40" s="14">
        <f t="shared" si="6"/>
        <v>0</v>
      </c>
      <c r="J40" s="14">
        <f>418.949496*E40*F40</f>
        <v>377.0545464</v>
      </c>
      <c r="K40" s="14">
        <f>112.21440567*E40*F40</f>
        <v>100.992965103</v>
      </c>
      <c r="L40" s="14">
        <f>88.0146*E40*F40</f>
        <v>79.21314000000001</v>
      </c>
      <c r="M40" s="14">
        <f t="shared" si="7"/>
        <v>957.075067433736</v>
      </c>
      <c r="N40" s="18">
        <f>IF(N4&gt;0,(M40/$N$4/12),0)</f>
        <v>0.009252465849127377</v>
      </c>
    </row>
    <row r="41" spans="2:14" ht="24">
      <c r="B41" s="9">
        <v>34</v>
      </c>
      <c r="C41" s="7" t="s">
        <v>71</v>
      </c>
      <c r="D41" s="7" t="s">
        <v>72</v>
      </c>
      <c r="E41" s="11">
        <v>0.1</v>
      </c>
      <c r="F41" s="11">
        <v>2</v>
      </c>
      <c r="G41" s="14">
        <f>1108.3320016299*E41*F41</f>
        <v>221.66640032598002</v>
      </c>
      <c r="H41" s="14">
        <f>52.25287255603*E41*F41</f>
        <v>10.450574511206</v>
      </c>
      <c r="I41" s="14">
        <f t="shared" si="6"/>
        <v>0</v>
      </c>
      <c r="J41" s="14">
        <f>1055.1320655517*E41*F41</f>
        <v>211.02641311034</v>
      </c>
      <c r="K41" s="14">
        <f>288.04320216589*E41*F41</f>
        <v>57.60864043317801</v>
      </c>
      <c r="L41" s="14">
        <f>221.66640032598*E41*F41</f>
        <v>44.333280065196</v>
      </c>
      <c r="M41" s="14">
        <f t="shared" si="7"/>
        <v>545.0853084459001</v>
      </c>
      <c r="N41" s="18">
        <f>IF(N4&gt;0,(M41/$N$4/12),0)</f>
        <v>0.005269579548007541</v>
      </c>
    </row>
    <row r="42" spans="2:14" ht="24">
      <c r="B42" s="9">
        <v>35</v>
      </c>
      <c r="C42" s="7" t="s">
        <v>73</v>
      </c>
      <c r="D42" s="7" t="s">
        <v>74</v>
      </c>
      <c r="E42" s="11">
        <v>0.9</v>
      </c>
      <c r="F42" s="11">
        <v>2</v>
      </c>
      <c r="G42" s="14">
        <f>1116.4814983701*E42*F42</f>
        <v>2009.6666970661802</v>
      </c>
      <c r="H42" s="14">
        <f>33.81739580016*E42*F42</f>
        <v>60.871312440288</v>
      </c>
      <c r="I42" s="14">
        <f t="shared" si="6"/>
        <v>0</v>
      </c>
      <c r="J42" s="14">
        <f>1062.8903864483*E42*F42</f>
        <v>1913.20269560694</v>
      </c>
      <c r="K42" s="14">
        <f>287.71460648042*E42*F42</f>
        <v>517.8862916647561</v>
      </c>
      <c r="L42" s="14">
        <f>223.29629967402*E42*F42</f>
        <v>401.933339413236</v>
      </c>
      <c r="M42" s="14">
        <f t="shared" si="7"/>
        <v>4903.560336191401</v>
      </c>
      <c r="N42" s="18">
        <f>IF(N4&gt;0,(M42/$N$4/12),0)</f>
        <v>0.0474048756399014</v>
      </c>
    </row>
    <row r="43" spans="2:14" ht="24">
      <c r="B43" s="9">
        <v>36</v>
      </c>
      <c r="C43" s="7" t="s">
        <v>75</v>
      </c>
      <c r="D43" s="7" t="s">
        <v>76</v>
      </c>
      <c r="E43" s="11">
        <v>0.4</v>
      </c>
      <c r="F43" s="11">
        <v>2</v>
      </c>
      <c r="G43" s="14">
        <f>1067.5844983701*E43*F43</f>
        <v>854.06759869608</v>
      </c>
      <c r="H43" s="14">
        <f>33.800835147072*E43*F43</f>
        <v>27.040668117657603</v>
      </c>
      <c r="I43" s="14">
        <f t="shared" si="6"/>
        <v>0</v>
      </c>
      <c r="J43" s="14">
        <f>1016.3404424483*E43*F43</f>
        <v>813.0723539586401</v>
      </c>
      <c r="K43" s="14">
        <f>275.30435087552*E43*F43</f>
        <v>220.24348070041603</v>
      </c>
      <c r="L43" s="14">
        <f>213.51689967402*E43*F43</f>
        <v>170.81351973921602</v>
      </c>
      <c r="M43" s="14">
        <f t="shared" si="7"/>
        <v>2085.23762121201</v>
      </c>
      <c r="N43" s="18">
        <f>IF(N4&gt;0,(M43/$N$4/12),0)</f>
        <v>0.020158909717826853</v>
      </c>
    </row>
    <row r="44" spans="2:14" ht="24">
      <c r="B44" s="9">
        <v>37</v>
      </c>
      <c r="C44" s="7" t="s">
        <v>77</v>
      </c>
      <c r="D44" s="7" t="s">
        <v>78</v>
      </c>
      <c r="E44" s="11">
        <v>0.4</v>
      </c>
      <c r="F44" s="11">
        <v>1</v>
      </c>
      <c r="G44" s="14">
        <f>0.0335*E44*F44</f>
        <v>0.013400000000000002</v>
      </c>
      <c r="H44" s="14">
        <f>51.14958906745*E44*F44</f>
        <v>20.459835626980002</v>
      </c>
      <c r="I44" s="14">
        <f t="shared" si="6"/>
        <v>0</v>
      </c>
      <c r="J44" s="14">
        <f>0.031892*E44*F44</f>
        <v>0.012756799999999999</v>
      </c>
      <c r="K44" s="14">
        <f>6.6579475387684*E44*F44</f>
        <v>2.6631790155073602</v>
      </c>
      <c r="L44" s="14">
        <f>0.0067*E44*F44</f>
        <v>0.00268</v>
      </c>
      <c r="M44" s="14">
        <f t="shared" si="7"/>
        <v>23.151851442487363</v>
      </c>
      <c r="N44" s="18">
        <f>IF(N4&gt;0,(M44/$N$4/12),0)</f>
        <v>0.00022381913614160251</v>
      </c>
    </row>
    <row r="45" spans="2:14" ht="24">
      <c r="B45" s="9">
        <v>38</v>
      </c>
      <c r="C45" s="7" t="s">
        <v>79</v>
      </c>
      <c r="D45" s="7" t="s">
        <v>78</v>
      </c>
      <c r="E45" s="11">
        <v>0.4</v>
      </c>
      <c r="F45" s="11">
        <v>1</v>
      </c>
      <c r="G45" s="14">
        <f>0.0441666667*E45*F45</f>
        <v>0.017666666680000002</v>
      </c>
      <c r="H45" s="14">
        <f>34.48092000313*E45*F45</f>
        <v>13.792368001252001</v>
      </c>
      <c r="I45" s="14">
        <f t="shared" si="6"/>
        <v>0</v>
      </c>
      <c r="J45" s="14">
        <f>0.0420466666984*E45*F45</f>
        <v>0.016818666679360002</v>
      </c>
      <c r="K45" s="14">
        <f>4.4937273337486*E45*F45</f>
        <v>1.7974909334994402</v>
      </c>
      <c r="L45" s="14">
        <f>0.00883333334*E45*F45</f>
        <v>0.003533333336</v>
      </c>
      <c r="M45" s="14">
        <f t="shared" si="7"/>
        <v>15.6278776014468</v>
      </c>
      <c r="N45" s="18">
        <f>IF(N4&gt;0,(M45/$N$4/12),0)</f>
        <v>0.0001510815700062529</v>
      </c>
    </row>
    <row r="46" spans="2:14" ht="24">
      <c r="B46" s="9">
        <v>39</v>
      </c>
      <c r="C46" s="7" t="s">
        <v>80</v>
      </c>
      <c r="D46" s="7" t="s">
        <v>81</v>
      </c>
      <c r="E46" s="11">
        <v>0.1</v>
      </c>
      <c r="F46" s="11">
        <v>1</v>
      </c>
      <c r="G46" s="14">
        <f>523.1979*E46*F46</f>
        <v>52.319790000000005</v>
      </c>
      <c r="H46" s="14">
        <f>100.52763*E46*F46</f>
        <v>10.052763</v>
      </c>
      <c r="I46" s="14">
        <f t="shared" si="6"/>
        <v>0</v>
      </c>
      <c r="J46" s="14">
        <f>498.0844008*E46*F46</f>
        <v>49.808440080000004</v>
      </c>
      <c r="K46" s="14">
        <f>145.835291004*E46*F46</f>
        <v>14.5835291004</v>
      </c>
      <c r="L46" s="14">
        <f>104.63958*E46*F46</f>
        <v>10.463958</v>
      </c>
      <c r="M46" s="14">
        <f t="shared" si="7"/>
        <v>137.2284801804</v>
      </c>
      <c r="N46" s="18">
        <f>IF(N4&gt;0,(M46/$N$4/12),0)</f>
        <v>0.0013266481069257542</v>
      </c>
    </row>
    <row r="47" spans="2:14" ht="60">
      <c r="B47" s="9">
        <v>40</v>
      </c>
      <c r="C47" s="7" t="s">
        <v>82</v>
      </c>
      <c r="D47" s="7" t="s">
        <v>83</v>
      </c>
      <c r="E47" s="11">
        <v>0.3</v>
      </c>
      <c r="F47" s="11">
        <v>1</v>
      </c>
      <c r="G47" s="14">
        <f>660.1095*E47*F47</f>
        <v>198.03285</v>
      </c>
      <c r="H47" s="14">
        <f>100.52763*E47*F47</f>
        <v>30.158289</v>
      </c>
      <c r="I47" s="14">
        <f t="shared" si="6"/>
        <v>0</v>
      </c>
      <c r="J47" s="14">
        <f>628.424244*E47*F47</f>
        <v>188.5272732</v>
      </c>
      <c r="K47" s="14">
        <f>180.57797862*E47*F47</f>
        <v>54.173393586</v>
      </c>
      <c r="L47" s="14">
        <f>132.0219*E47*F47</f>
        <v>39.60657</v>
      </c>
      <c r="M47" s="14">
        <f t="shared" si="7"/>
        <v>510.49837578599994</v>
      </c>
      <c r="N47" s="18">
        <f>IF(N4&gt;0,(M47/$N$4/12),0)</f>
        <v>0.004935212449593967</v>
      </c>
    </row>
    <row r="48" spans="2:14" ht="24">
      <c r="B48" s="9">
        <v>41</v>
      </c>
      <c r="C48" s="7" t="s">
        <v>84</v>
      </c>
      <c r="D48" s="7" t="s">
        <v>85</v>
      </c>
      <c r="E48" s="11">
        <v>0.3</v>
      </c>
      <c r="F48" s="11">
        <v>1</v>
      </c>
      <c r="G48" s="14">
        <f>889.9254*E48*F48</f>
        <v>266.97762</v>
      </c>
      <c r="H48" s="14">
        <f>100.52763*E48*F48</f>
        <v>30.158289</v>
      </c>
      <c r="I48" s="14">
        <f t="shared" si="6"/>
        <v>0</v>
      </c>
      <c r="J48" s="14">
        <f>847.2089808*E48*F48</f>
        <v>254.16269423999998</v>
      </c>
      <c r="K48" s="14">
        <f>238.896061404*E48*F48</f>
        <v>71.6688184212</v>
      </c>
      <c r="L48" s="14">
        <f>177.98508*E48*F48</f>
        <v>53.395524</v>
      </c>
      <c r="M48" s="14">
        <f t="shared" si="7"/>
        <v>676.3629456612</v>
      </c>
      <c r="N48" s="18">
        <f>IF(N4&gt;0,(M48/$N$4/12),0)</f>
        <v>0.00653869823725058</v>
      </c>
    </row>
    <row r="49" spans="2:14" ht="12">
      <c r="B49" s="9">
        <v>42</v>
      </c>
      <c r="C49" s="7" t="s">
        <v>86</v>
      </c>
      <c r="D49" s="7" t="s">
        <v>87</v>
      </c>
      <c r="E49" s="11">
        <v>100</v>
      </c>
      <c r="F49" s="11">
        <v>1</v>
      </c>
      <c r="G49" s="14">
        <f>741.571902*E49*F49</f>
        <v>74157.1902</v>
      </c>
      <c r="H49" s="14">
        <f>100.52763*E49*F49</f>
        <v>10052.763</v>
      </c>
      <c r="I49" s="14">
        <f t="shared" si="6"/>
        <v>0</v>
      </c>
      <c r="J49" s="14">
        <f>705.976450704*E49*F49</f>
        <v>70597.6450704</v>
      </c>
      <c r="K49" s="14">
        <f>201.24987775152*E49*F49</f>
        <v>20124.987775152</v>
      </c>
      <c r="L49" s="14">
        <f>148.3143804*E49*F49</f>
        <v>14831.438040000001</v>
      </c>
      <c r="M49" s="14">
        <f t="shared" si="7"/>
        <v>189764.02408555202</v>
      </c>
      <c r="N49" s="18">
        <f>IF(N4&gt;0,(M49/$N$4/12),0)</f>
        <v>1.8345323287466357</v>
      </c>
    </row>
    <row r="50" spans="2:14" ht="36">
      <c r="B50" s="9">
        <v>43</v>
      </c>
      <c r="C50" s="7" t="s">
        <v>88</v>
      </c>
      <c r="D50" s="7" t="s">
        <v>89</v>
      </c>
      <c r="E50" s="11">
        <v>2.2</v>
      </c>
      <c r="F50" s="11">
        <v>1</v>
      </c>
      <c r="G50" s="14">
        <f>1393.5645*E50*F50</f>
        <v>3065.8419000000004</v>
      </c>
      <c r="H50" s="14">
        <f>100.52763*E50*F50</f>
        <v>221.16078600000003</v>
      </c>
      <c r="I50" s="14">
        <f t="shared" si="6"/>
        <v>0</v>
      </c>
      <c r="J50" s="14">
        <f>1326.673404*E50*F50</f>
        <v>2918.6814888</v>
      </c>
      <c r="K50" s="14">
        <f>366.69951942*E50*F50</f>
        <v>806.738942724</v>
      </c>
      <c r="L50" s="14">
        <f>278.7129*E50*F50</f>
        <v>613.1683800000001</v>
      </c>
      <c r="M50" s="14">
        <f t="shared" si="7"/>
        <v>7625.591497524</v>
      </c>
      <c r="N50" s="18">
        <f>IF(N4&gt;0,(M50/$N$4/12),0)</f>
        <v>0.0737199487386311</v>
      </c>
    </row>
    <row r="51" spans="2:14" ht="12">
      <c r="B51" s="9">
        <v>44</v>
      </c>
      <c r="C51" s="7" t="s">
        <v>90</v>
      </c>
      <c r="D51" s="7" t="s">
        <v>91</v>
      </c>
      <c r="E51" s="11">
        <v>9.8</v>
      </c>
      <c r="F51" s="11">
        <v>1</v>
      </c>
      <c r="G51" s="14">
        <f>513.4185*E51*F51</f>
        <v>5031.5013</v>
      </c>
      <c r="H51" s="14">
        <f>5.648454*E51*F51</f>
        <v>55.354849200000004</v>
      </c>
      <c r="I51" s="14">
        <f t="shared" si="6"/>
        <v>0</v>
      </c>
      <c r="J51" s="14">
        <f>488.774412*E51*F51</f>
        <v>4789.9892376</v>
      </c>
      <c r="K51" s="14">
        <f>131.01937758*E51*F51</f>
        <v>1283.989900284</v>
      </c>
      <c r="L51" s="14">
        <f>102.6837*E51*F51</f>
        <v>1006.3002600000001</v>
      </c>
      <c r="M51" s="14">
        <f t="shared" si="7"/>
        <v>12167.135547083999</v>
      </c>
      <c r="N51" s="18">
        <f>IF(N4&gt;0,(M51/$N$4/12),0)</f>
        <v>0.11762505362610208</v>
      </c>
    </row>
    <row r="52" spans="2:14" ht="24">
      <c r="B52" s="9">
        <v>45</v>
      </c>
      <c r="C52" s="7" t="s">
        <v>92</v>
      </c>
      <c r="D52" s="7" t="s">
        <v>93</v>
      </c>
      <c r="E52" s="11">
        <v>7.9</v>
      </c>
      <c r="F52" s="11">
        <v>1</v>
      </c>
      <c r="G52" s="14">
        <f>599.108475*E52*F52</f>
        <v>4732.956952500001</v>
      </c>
      <c r="H52" s="14">
        <f>6.296269056*E52*F52</f>
        <v>49.7405255424</v>
      </c>
      <c r="I52" s="14">
        <f t="shared" si="6"/>
        <v>0</v>
      </c>
      <c r="J52" s="14">
        <f>570.3512682*E52*F52</f>
        <v>4505.77501878</v>
      </c>
      <c r="K52" s="14">
        <f>152.84828159328*E52*F52</f>
        <v>1207.5014245869122</v>
      </c>
      <c r="L52" s="14">
        <f>119.821695*E52*F52</f>
        <v>946.5913905000001</v>
      </c>
      <c r="M52" s="14">
        <f t="shared" si="7"/>
        <v>11442.565311909311</v>
      </c>
      <c r="N52" s="18">
        <f>IF(N4&gt;0,(M52/$N$4/12),0)</f>
        <v>0.11062031430693457</v>
      </c>
    </row>
    <row r="53" spans="2:14" ht="24">
      <c r="B53" s="9">
        <v>46</v>
      </c>
      <c r="C53" s="7" t="s">
        <v>94</v>
      </c>
      <c r="D53" s="7" t="s">
        <v>95</v>
      </c>
      <c r="E53" s="11">
        <v>0.079</v>
      </c>
      <c r="F53" s="11">
        <v>2</v>
      </c>
      <c r="G53" s="14">
        <f>525535.251525*E53*F53</f>
        <v>83034.56974095</v>
      </c>
      <c r="H53" s="14">
        <f>1204.308575232*E53*F53</f>
        <v>190.280754886656</v>
      </c>
      <c r="I53" s="14">
        <f t="shared" si="6"/>
        <v>0</v>
      </c>
      <c r="J53" s="14">
        <f>500309.5594518*E53*F53</f>
        <v>79048.9103933844</v>
      </c>
      <c r="K53" s="14">
        <f>133516.38554176*E53*F53</f>
        <v>21095.588915598084</v>
      </c>
      <c r="L53" s="14">
        <f>105107.050305*E53*F53</f>
        <v>16606.91394819</v>
      </c>
      <c r="M53" s="14">
        <f t="shared" si="7"/>
        <v>199976.26375300912</v>
      </c>
      <c r="N53" s="18">
        <f>IF(N4&gt;0,(M53/$N$4/12),0)</f>
        <v>1.933258543629245</v>
      </c>
    </row>
    <row r="54" spans="2:14" ht="12">
      <c r="B54" s="9">
        <v>47</v>
      </c>
      <c r="C54" s="7" t="s">
        <v>96</v>
      </c>
      <c r="D54" s="7" t="s">
        <v>97</v>
      </c>
      <c r="E54" s="11">
        <v>0.008</v>
      </c>
      <c r="F54" s="11">
        <v>80</v>
      </c>
      <c r="G54" s="14">
        <f>57807.210975*E54*F54</f>
        <v>36996.615024</v>
      </c>
      <c r="H54" s="14">
        <f>131.66479872*E54*F54</f>
        <v>84.2654711808</v>
      </c>
      <c r="I54" s="14">
        <f t="shared" si="6"/>
        <v>0</v>
      </c>
      <c r="J54" s="14">
        <f>55032.4648482*E54*F54</f>
        <v>35220.777502848</v>
      </c>
      <c r="K54" s="14">
        <f>14686.27428085*E54*F54</f>
        <v>9399.215539744</v>
      </c>
      <c r="L54" s="14">
        <f>11561.442195*E54*F54</f>
        <v>7399.3230048</v>
      </c>
      <c r="M54" s="14">
        <f t="shared" si="7"/>
        <v>89100.1965425728</v>
      </c>
      <c r="N54" s="18">
        <f>IF(N4&gt;0,(M54/$N$4/12),0)</f>
        <v>0.8613708095763032</v>
      </c>
    </row>
    <row r="55" spans="2:14" ht="12">
      <c r="B55" s="9">
        <v>48</v>
      </c>
      <c r="C55" s="7" t="s">
        <v>98</v>
      </c>
      <c r="D55" s="7" t="s">
        <v>99</v>
      </c>
      <c r="E55" s="11">
        <v>79</v>
      </c>
      <c r="F55" s="11">
        <v>1</v>
      </c>
      <c r="G55" s="14">
        <v>0.81</v>
      </c>
      <c r="H55" s="14">
        <f>110.041291584*E55*F55</f>
        <v>8693.262035136</v>
      </c>
      <c r="I55" s="14">
        <f>70.394775*E55*F55</f>
        <v>5561.187225</v>
      </c>
      <c r="J55" s="14">
        <f>0.0093296*E55*F55</f>
        <v>0.7370384</v>
      </c>
      <c r="K55" s="14">
        <f>23.45917550392*E55*F55</f>
        <v>1853.2748648096801</v>
      </c>
      <c r="L55" s="14">
        <f>0.00196*E55*F55</f>
        <v>0.15484</v>
      </c>
      <c r="M55" s="14">
        <f t="shared" si="7"/>
        <v>16109.42600334568</v>
      </c>
      <c r="N55" s="18">
        <v>0.15</v>
      </c>
    </row>
    <row r="56" spans="2:14" ht="12">
      <c r="B56" s="9">
        <v>49</v>
      </c>
      <c r="C56" s="7" t="s">
        <v>100</v>
      </c>
      <c r="D56" s="7" t="s">
        <v>101</v>
      </c>
      <c r="E56" s="11">
        <v>0</v>
      </c>
      <c r="F56" s="11">
        <v>1</v>
      </c>
      <c r="G56" s="14">
        <f>48.897*E56*F56</f>
        <v>0</v>
      </c>
      <c r="H56" s="14">
        <f>1791.5105376*E56*F56</f>
        <v>0</v>
      </c>
      <c r="I56" s="14">
        <f aca="true" t="shared" si="8" ref="I56:I68">0*E56*F56</f>
        <v>0</v>
      </c>
      <c r="J56" s="14">
        <f>46.549944*E56*F56</f>
        <v>0</v>
      </c>
      <c r="K56" s="14">
        <f>245.304472608*E56*F56</f>
        <v>0</v>
      </c>
      <c r="L56" s="14">
        <f>9.7794*E56*F56</f>
        <v>0</v>
      </c>
      <c r="M56" s="14">
        <f t="shared" si="7"/>
        <v>0</v>
      </c>
      <c r="N56" s="57" t="s">
        <v>211</v>
      </c>
    </row>
    <row r="57" spans="2:14" ht="36">
      <c r="B57" s="9">
        <v>50</v>
      </c>
      <c r="C57" s="7" t="s">
        <v>102</v>
      </c>
      <c r="D57" s="7" t="s">
        <v>103</v>
      </c>
      <c r="E57" s="11">
        <v>0.79</v>
      </c>
      <c r="F57" s="11">
        <v>1</v>
      </c>
      <c r="G57" s="14">
        <f>10509.173475*E57*F57</f>
        <v>8302.24704525</v>
      </c>
      <c r="H57" s="14">
        <f>134.0632104*E57*F57</f>
        <v>105.909936216</v>
      </c>
      <c r="I57" s="14">
        <f t="shared" si="8"/>
        <v>0</v>
      </c>
      <c r="J57" s="14">
        <f>10004.7331482*E57*F57</f>
        <v>7903.739187078001</v>
      </c>
      <c r="K57" s="14">
        <f>2684.236078368*E57*F57</f>
        <v>2120.54650191072</v>
      </c>
      <c r="L57" s="14">
        <f>2101.834695*E57*F57</f>
        <v>1660.44940905</v>
      </c>
      <c r="M57" s="14">
        <f t="shared" si="7"/>
        <v>20092.892079504723</v>
      </c>
      <c r="N57" s="18">
        <f>IF(N4&gt;0,(M57/$N$4/12),0)</f>
        <v>0.19424682984826683</v>
      </c>
    </row>
    <row r="58" spans="2:14" ht="36">
      <c r="B58" s="9">
        <v>51</v>
      </c>
      <c r="C58" s="7" t="s">
        <v>104</v>
      </c>
      <c r="D58" s="7" t="s">
        <v>103</v>
      </c>
      <c r="E58" s="11">
        <v>0.079</v>
      </c>
      <c r="F58" s="11">
        <v>1</v>
      </c>
      <c r="G58" s="14">
        <f>45798.014025*E58*F58</f>
        <v>3618.0431079749997</v>
      </c>
      <c r="H58" s="14">
        <f>310.070208*E58*F58</f>
        <v>24.495546431999998</v>
      </c>
      <c r="I58" s="14">
        <f t="shared" si="8"/>
        <v>0</v>
      </c>
      <c r="J58" s="14">
        <f>43599.7093518*E58*F58</f>
        <v>3444.3770387922</v>
      </c>
      <c r="K58" s="14">
        <f>11662.013166024*E58*F58</f>
        <v>921.299040115896</v>
      </c>
      <c r="L58" s="14">
        <f>9159.602805*E58*F58</f>
        <v>723.608621595</v>
      </c>
      <c r="M58" s="14">
        <f t="shared" si="7"/>
        <v>8731.823354910097</v>
      </c>
      <c r="N58" s="18">
        <f>IF(N4&gt;0,(M58/$N$4/12),0)</f>
        <v>0.08441437891444409</v>
      </c>
    </row>
    <row r="59" spans="2:14" ht="36">
      <c r="B59" s="9">
        <v>52</v>
      </c>
      <c r="C59" s="7" t="s">
        <v>105</v>
      </c>
      <c r="D59" s="7" t="s">
        <v>103</v>
      </c>
      <c r="E59" s="11">
        <v>0.079</v>
      </c>
      <c r="F59" s="11">
        <v>1</v>
      </c>
      <c r="G59" s="14">
        <f>319072.560975*E59*F59</f>
        <v>25206.732317025</v>
      </c>
      <c r="H59" s="14">
        <f>163.466016*E59*F59</f>
        <v>12.913815264</v>
      </c>
      <c r="I59" s="14">
        <f t="shared" si="8"/>
        <v>0</v>
      </c>
      <c r="J59" s="14">
        <f>303757.0780482*E59*F59</f>
        <v>23996.8091658078</v>
      </c>
      <c r="K59" s="14">
        <f>80989.103655096*E59*F59</f>
        <v>6398.139188752584</v>
      </c>
      <c r="L59" s="14">
        <f>63814.512195*E59*F59</f>
        <v>5041.346463405001</v>
      </c>
      <c r="M59" s="14">
        <f t="shared" si="7"/>
        <v>60655.940950254386</v>
      </c>
      <c r="N59" s="18">
        <f>IF(N4&gt;0,(M59/$N$4/12),0)</f>
        <v>0.5863876735330084</v>
      </c>
    </row>
    <row r="60" spans="2:14" ht="24">
      <c r="B60" s="9">
        <v>53</v>
      </c>
      <c r="C60" s="7" t="s">
        <v>106</v>
      </c>
      <c r="D60" s="7" t="s">
        <v>107</v>
      </c>
      <c r="E60" s="11">
        <v>79</v>
      </c>
      <c r="F60" s="11">
        <v>1</v>
      </c>
      <c r="G60" s="14">
        <f>0.027*E60*F60</f>
        <v>2.133</v>
      </c>
      <c r="H60" s="14">
        <f>0*E60*F60</f>
        <v>0</v>
      </c>
      <c r="I60" s="14">
        <f t="shared" si="8"/>
        <v>0</v>
      </c>
      <c r="J60" s="14">
        <f>0.025704*E60*F60</f>
        <v>2.030616</v>
      </c>
      <c r="K60" s="14">
        <f>0.00685152*E60*F60</f>
        <v>0.54127008</v>
      </c>
      <c r="L60" s="14">
        <f>0.0054*E60*F60</f>
        <v>0.42660000000000003</v>
      </c>
      <c r="M60" s="14">
        <f t="shared" si="7"/>
        <v>5.13148608</v>
      </c>
      <c r="N60" s="18">
        <f>IF(N4&gt;0,(M60/$N$4/12),0)</f>
        <v>4.960833410672854E-05</v>
      </c>
    </row>
    <row r="61" spans="2:14" ht="12">
      <c r="B61" s="9">
        <v>54</v>
      </c>
      <c r="C61" s="7" t="s">
        <v>108</v>
      </c>
      <c r="D61" s="7" t="s">
        <v>109</v>
      </c>
      <c r="E61" s="11">
        <v>79</v>
      </c>
      <c r="F61" s="11">
        <v>1</v>
      </c>
      <c r="G61" s="14">
        <f>0.012*E61*F61</f>
        <v>0.9480000000000001</v>
      </c>
      <c r="H61" s="14">
        <f>0*E61*F61</f>
        <v>0</v>
      </c>
      <c r="I61" s="14">
        <f t="shared" si="8"/>
        <v>0</v>
      </c>
      <c r="J61" s="14">
        <f>0.011424*E61*F61</f>
        <v>0.902496</v>
      </c>
      <c r="K61" s="14">
        <f>0.00304512*E61*F61</f>
        <v>0.24056448</v>
      </c>
      <c r="L61" s="14">
        <f>0.0024*E61*F61</f>
        <v>0.1896</v>
      </c>
      <c r="M61" s="14">
        <f t="shared" si="7"/>
        <v>2.2806604800000003</v>
      </c>
      <c r="N61" s="18">
        <f>IF(N4&gt;0,(M61/$N$4/12),0)</f>
        <v>2.2048148491879355E-05</v>
      </c>
    </row>
    <row r="62" spans="2:14" ht="24">
      <c r="B62" s="9">
        <v>55</v>
      </c>
      <c r="C62" s="7" t="s">
        <v>110</v>
      </c>
      <c r="D62" s="7" t="s">
        <v>111</v>
      </c>
      <c r="E62" s="11">
        <v>30</v>
      </c>
      <c r="F62" s="11">
        <v>1</v>
      </c>
      <c r="G62" s="14">
        <f>621.63135*E62*F62</f>
        <v>18648.9405</v>
      </c>
      <c r="H62" s="14">
        <f>1.341685968*E62*F62</f>
        <v>40.25057904</v>
      </c>
      <c r="I62" s="14">
        <f t="shared" si="8"/>
        <v>0</v>
      </c>
      <c r="J62" s="14">
        <f>591.7930452*E62*F62</f>
        <v>17753.791356</v>
      </c>
      <c r="K62" s="14">
        <f>157.91959055184*E62*F62</f>
        <v>4737.5877165552</v>
      </c>
      <c r="L62" s="14">
        <f>124.32627*E62*F62</f>
        <v>3729.7880999999998</v>
      </c>
      <c r="M62" s="14">
        <f t="shared" si="7"/>
        <v>44910.3582515952</v>
      </c>
      <c r="N62" s="18">
        <f>IF(N4&gt;0,(M62/$N$4/12),0)</f>
        <v>0.43416819655447797</v>
      </c>
    </row>
    <row r="63" spans="2:14" ht="24">
      <c r="B63" s="9">
        <v>56</v>
      </c>
      <c r="C63" s="7" t="s">
        <v>112</v>
      </c>
      <c r="D63" s="7" t="s">
        <v>111</v>
      </c>
      <c r="E63" s="11">
        <v>30</v>
      </c>
      <c r="F63" s="11">
        <v>1</v>
      </c>
      <c r="G63" s="14">
        <f>114.8666625*E63*F63</f>
        <v>3445.999875</v>
      </c>
      <c r="H63" s="14">
        <f>0.6296269056*E63*F63</f>
        <v>18.888807168</v>
      </c>
      <c r="I63" s="14">
        <f t="shared" si="8"/>
        <v>0</v>
      </c>
      <c r="J63" s="14">
        <f>109.3530627*E63*F63</f>
        <v>3280.591881</v>
      </c>
      <c r="K63" s="14">
        <f>29.230415773728*E63*F63</f>
        <v>876.91247321184</v>
      </c>
      <c r="L63" s="14">
        <f>22.9733325*E63*F63</f>
        <v>689.199975</v>
      </c>
      <c r="M63" s="14">
        <f t="shared" si="7"/>
        <v>8311.593011379839</v>
      </c>
      <c r="N63" s="18">
        <f>IF(N4&gt;0,(M63/$N$4/12),0)</f>
        <v>0.0803518272561856</v>
      </c>
    </row>
    <row r="64" spans="2:14" ht="24">
      <c r="B64" s="9">
        <v>57</v>
      </c>
      <c r="C64" s="7" t="s">
        <v>113</v>
      </c>
      <c r="D64" s="7" t="s">
        <v>114</v>
      </c>
      <c r="E64" s="11">
        <v>0</v>
      </c>
      <c r="F64" s="11">
        <v>1</v>
      </c>
      <c r="G64" s="14">
        <f>235.5892725*E64*F64</f>
        <v>0</v>
      </c>
      <c r="H64" s="14">
        <f>0.445046196*E64*F64</f>
        <v>0</v>
      </c>
      <c r="I64" s="14">
        <f t="shared" si="8"/>
        <v>0</v>
      </c>
      <c r="J64" s="14">
        <f>224.28098742*E64*F64</f>
        <v>0</v>
      </c>
      <c r="K64" s="14">
        <f>59.84098979508*E64*F64</f>
        <v>0</v>
      </c>
      <c r="L64" s="14">
        <f>47.1178545*E64*F64</f>
        <v>0</v>
      </c>
      <c r="M64" s="14">
        <f t="shared" si="7"/>
        <v>0</v>
      </c>
      <c r="N64" s="18">
        <f>IF(N4&gt;0,(M64/$N$4/12),0)</f>
        <v>0</v>
      </c>
    </row>
    <row r="65" spans="2:14" ht="12">
      <c r="B65" s="9">
        <v>58</v>
      </c>
      <c r="C65" s="7" t="s">
        <v>115</v>
      </c>
      <c r="D65" s="7" t="s">
        <v>111</v>
      </c>
      <c r="E65" s="11">
        <v>0</v>
      </c>
      <c r="F65" s="11">
        <v>1</v>
      </c>
      <c r="G65" s="14">
        <f>2702.745*E65*F65</f>
        <v>0</v>
      </c>
      <c r="H65" s="14">
        <f>2.36182632*E65*F65</f>
        <v>0</v>
      </c>
      <c r="I65" s="14">
        <f t="shared" si="8"/>
        <v>0</v>
      </c>
      <c r="J65" s="14">
        <f>2573.01324*E65*F65</f>
        <v>0</v>
      </c>
      <c r="K65" s="14">
        <f>686.1556086216*E65*F65</f>
        <v>0</v>
      </c>
      <c r="L65" s="14">
        <f>540.549*E65*F65</f>
        <v>0</v>
      </c>
      <c r="M65" s="14">
        <f t="shared" si="7"/>
        <v>0</v>
      </c>
      <c r="N65" s="18">
        <f>IF(N4&gt;0,(M65/$N$4/12),0)</f>
        <v>0</v>
      </c>
    </row>
    <row r="66" spans="2:14" ht="36">
      <c r="B66" s="9">
        <v>59</v>
      </c>
      <c r="C66" s="7" t="s">
        <v>116</v>
      </c>
      <c r="D66" s="7" t="s">
        <v>117</v>
      </c>
      <c r="E66" s="11">
        <v>4.9</v>
      </c>
      <c r="F66" s="11">
        <v>1</v>
      </c>
      <c r="G66" s="14">
        <f>0.0145*E66*F66</f>
        <v>0.07105</v>
      </c>
      <c r="H66" s="14">
        <f>301.74129804*E66*F66</f>
        <v>1478.532360396</v>
      </c>
      <c r="I66" s="14">
        <f t="shared" si="8"/>
        <v>0</v>
      </c>
      <c r="J66" s="14">
        <f>0.013804*E66*F66</f>
        <v>0.06763960000000001</v>
      </c>
      <c r="K66" s="14">
        <f>39.2300482652*E66*F66</f>
        <v>192.22723649948</v>
      </c>
      <c r="L66" s="14">
        <f>0.0029*E66*F66</f>
        <v>0.01421</v>
      </c>
      <c r="M66" s="14">
        <f t="shared" si="7"/>
        <v>1670.9124964954801</v>
      </c>
      <c r="N66" s="18">
        <f>IF(N4&gt;0,(M66/$N$4/12),0)</f>
        <v>0.01615344640850232</v>
      </c>
    </row>
    <row r="67" spans="2:14" ht="36">
      <c r="B67" s="9">
        <v>60</v>
      </c>
      <c r="C67" s="7" t="s">
        <v>118</v>
      </c>
      <c r="D67" s="7" t="s">
        <v>117</v>
      </c>
      <c r="E67" s="11">
        <v>4.9</v>
      </c>
      <c r="F67" s="11">
        <v>2</v>
      </c>
      <c r="G67" s="14">
        <f>0.0399*E67*F67</f>
        <v>0.39102000000000003</v>
      </c>
      <c r="H67" s="14">
        <f>162.6797592*E67*F67</f>
        <v>1594.26164016</v>
      </c>
      <c r="I67" s="14">
        <f t="shared" si="8"/>
        <v>0</v>
      </c>
      <c r="J67" s="14">
        <f>0.0379848*E67*F67</f>
        <v>0.37225104000000003</v>
      </c>
      <c r="K67" s="14">
        <f>21.15849372*E67*F67</f>
        <v>207.353238456</v>
      </c>
      <c r="L67" s="14">
        <f>0.00798*E67*F67</f>
        <v>0.078204</v>
      </c>
      <c r="M67" s="14">
        <f t="shared" si="7"/>
        <v>1802.4563536560001</v>
      </c>
      <c r="N67" s="18">
        <f>IF(N4&gt;0,(M67/$N$4/12),0)</f>
        <v>0.01742513876310905</v>
      </c>
    </row>
    <row r="68" spans="2:14" ht="24">
      <c r="B68" s="9">
        <v>61</v>
      </c>
      <c r="C68" s="7" t="s">
        <v>119</v>
      </c>
      <c r="D68" s="7" t="s">
        <v>47</v>
      </c>
      <c r="E68" s="11">
        <v>0</v>
      </c>
      <c r="F68" s="11">
        <v>1</v>
      </c>
      <c r="G68" s="14">
        <f>0.0141999999*E68*F68</f>
        <v>0</v>
      </c>
      <c r="H68" s="14">
        <f>6930.382871832*E68*F68</f>
        <v>0</v>
      </c>
      <c r="I68" s="14">
        <f t="shared" si="8"/>
        <v>0</v>
      </c>
      <c r="J68" s="14">
        <f>0.0135183999048*E68*F68</f>
        <v>0</v>
      </c>
      <c r="K68" s="14">
        <f>900.95337673013*E68*F68</f>
        <v>0</v>
      </c>
      <c r="L68" s="14">
        <f>0.00283999998*E68*F68</f>
        <v>0</v>
      </c>
      <c r="M68" s="14">
        <f t="shared" si="7"/>
        <v>0</v>
      </c>
      <c r="N68" s="18">
        <f>IF(N4&gt;0,(M68/$N$4/12),0)</f>
        <v>0</v>
      </c>
    </row>
    <row r="69" spans="2:14" ht="12.75">
      <c r="B69" s="38" t="s">
        <v>63</v>
      </c>
      <c r="C69" s="39"/>
      <c r="D69" s="39"/>
      <c r="E69" s="39"/>
      <c r="F69" s="39"/>
      <c r="G69" s="15">
        <f aca="true" t="shared" si="9" ref="G69:N69">SUM(G38:G68)</f>
        <v>645352.9587554551</v>
      </c>
      <c r="H69" s="15">
        <f t="shared" si="9"/>
        <v>52387.39892224998</v>
      </c>
      <c r="I69" s="15">
        <f t="shared" si="9"/>
        <v>5561.187225</v>
      </c>
      <c r="J69" s="15">
        <f t="shared" si="9"/>
        <v>614377.1250215928</v>
      </c>
      <c r="K69" s="15">
        <f t="shared" si="9"/>
        <v>171363.0739002663</v>
      </c>
      <c r="L69" s="15">
        <f t="shared" si="9"/>
        <v>129070.82139109101</v>
      </c>
      <c r="M69" s="15">
        <f t="shared" si="9"/>
        <v>1618112.5652156551</v>
      </c>
      <c r="N69" s="19">
        <v>15.7</v>
      </c>
    </row>
    <row r="70" spans="2:14" ht="27.75" customHeight="1">
      <c r="B70" s="40" t="s">
        <v>120</v>
      </c>
      <c r="C70" s="41"/>
      <c r="D70" s="41"/>
      <c r="E70" s="41"/>
      <c r="F70" s="41"/>
      <c r="G70" s="20">
        <f aca="true" t="shared" si="10" ref="G70:N70">G36+G69</f>
        <v>1446041.4211381213</v>
      </c>
      <c r="H70" s="20">
        <f t="shared" si="10"/>
        <v>238326.15955584997</v>
      </c>
      <c r="I70" s="20">
        <f t="shared" si="10"/>
        <v>18458.511885</v>
      </c>
      <c r="J70" s="20">
        <f t="shared" si="10"/>
        <v>1376588.9409883698</v>
      </c>
      <c r="K70" s="20">
        <f t="shared" si="10"/>
        <v>400539.0249539655</v>
      </c>
      <c r="L70" s="20">
        <f t="shared" si="10"/>
        <v>289199.3364261283</v>
      </c>
      <c r="M70" s="20">
        <f t="shared" si="10"/>
        <v>3767258.9488506927</v>
      </c>
      <c r="N70" s="21">
        <f t="shared" si="10"/>
        <v>36.476743847979876</v>
      </c>
    </row>
    <row r="74" spans="3:14" ht="18">
      <c r="C74" s="42" t="s">
        <v>121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3:11" ht="19.5" customHeight="1">
      <c r="C75" s="35" t="s">
        <v>122</v>
      </c>
      <c r="D75" s="36"/>
      <c r="E75" s="37">
        <f>G70</f>
        <v>1446041.4211381213</v>
      </c>
      <c r="F75" s="36"/>
      <c r="G75" s="35" t="s">
        <v>123</v>
      </c>
      <c r="H75" s="36"/>
      <c r="I75" s="36"/>
      <c r="J75" s="37">
        <f>J70</f>
        <v>1376588.9409883698</v>
      </c>
      <c r="K75" s="36"/>
    </row>
    <row r="76" spans="3:11" ht="19.5" customHeight="1">
      <c r="C76" s="35" t="s">
        <v>124</v>
      </c>
      <c r="D76" s="36"/>
      <c r="E76" s="37">
        <f>H70</f>
        <v>238326.15955584997</v>
      </c>
      <c r="F76" s="36"/>
      <c r="G76" s="35" t="s">
        <v>125</v>
      </c>
      <c r="H76" s="36"/>
      <c r="I76" s="36"/>
      <c r="J76" s="37">
        <f>K70</f>
        <v>400539.0249539655</v>
      </c>
      <c r="K76" s="36"/>
    </row>
    <row r="77" spans="3:11" ht="19.5" customHeight="1">
      <c r="C77" s="35" t="s">
        <v>126</v>
      </c>
      <c r="D77" s="36"/>
      <c r="E77" s="37">
        <f>I70</f>
        <v>18458.511885</v>
      </c>
      <c r="F77" s="36"/>
      <c r="G77" s="35" t="s">
        <v>127</v>
      </c>
      <c r="H77" s="36"/>
      <c r="I77" s="36"/>
      <c r="J77" s="37">
        <f>L70</f>
        <v>289199.3364261283</v>
      </c>
      <c r="K77" s="36"/>
    </row>
    <row r="78" spans="3:11" ht="15">
      <c r="C78" s="5"/>
      <c r="E78" s="22"/>
      <c r="G78" s="35" t="s">
        <v>128</v>
      </c>
      <c r="H78" s="36"/>
      <c r="I78" s="36"/>
      <c r="J78" s="37">
        <f>M70</f>
        <v>3767258.9488506927</v>
      </c>
      <c r="K78" s="36"/>
    </row>
  </sheetData>
  <sheetProtection formatCells="0" formatColumns="0" formatRows="0" insertColumns="0" insertRows="0" insertHyperlinks="0" deleteColumns="0" deleteRows="0" sort="0" autoFilter="0" pivotTables="0"/>
  <mergeCells count="23">
    <mergeCell ref="B1:M1"/>
    <mergeCell ref="B4:K4"/>
    <mergeCell ref="L4:M4"/>
    <mergeCell ref="B5:N5"/>
    <mergeCell ref="B36:F36"/>
    <mergeCell ref="B37:N37"/>
    <mergeCell ref="B69:F69"/>
    <mergeCell ref="B70:F70"/>
    <mergeCell ref="C74:N74"/>
    <mergeCell ref="C75:D75"/>
    <mergeCell ref="E75:F75"/>
    <mergeCell ref="G75:I75"/>
    <mergeCell ref="J75:K75"/>
    <mergeCell ref="G78:I78"/>
    <mergeCell ref="J78:K78"/>
    <mergeCell ref="C76:D76"/>
    <mergeCell ref="E76:F76"/>
    <mergeCell ref="G76:I76"/>
    <mergeCell ref="J76:K76"/>
    <mergeCell ref="C77:D77"/>
    <mergeCell ref="E77:F77"/>
    <mergeCell ref="G77:I77"/>
    <mergeCell ref="J77:K77"/>
  </mergeCells>
  <printOptions/>
  <pageMargins left="0.35" right="0.35" top="0.35" bottom="0.35" header="0.3" footer="0.3"/>
  <pageSetup fitToHeight="0" fitToWidth="1" horizontalDpi="600" verticalDpi="600" orientation="landscape" paperSize="9" scale="74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B1">
      <selection activeCell="I10" sqref="I1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5" t="s">
        <v>129</v>
      </c>
      <c r="C1" s="55"/>
      <c r="D1" s="55"/>
      <c r="E1" s="55"/>
      <c r="F1" s="55"/>
      <c r="G1" s="55"/>
    </row>
    <row r="3" spans="1:7" ht="27">
      <c r="A3" s="23"/>
      <c r="B3" s="24" t="s">
        <v>0</v>
      </c>
      <c r="C3" s="24" t="s">
        <v>130</v>
      </c>
      <c r="D3" s="24" t="s">
        <v>131</v>
      </c>
      <c r="E3" s="24" t="s">
        <v>3</v>
      </c>
      <c r="F3" s="24" t="s">
        <v>132</v>
      </c>
      <c r="G3" s="25" t="s">
        <v>11</v>
      </c>
    </row>
    <row r="4" spans="2:7" ht="16.5">
      <c r="B4" s="54" t="s">
        <v>133</v>
      </c>
      <c r="C4" s="54"/>
      <c r="D4" s="54"/>
      <c r="E4" s="54"/>
      <c r="F4" s="54"/>
      <c r="G4" s="54"/>
    </row>
    <row r="5" spans="2:7" ht="12">
      <c r="B5" s="26">
        <v>1</v>
      </c>
      <c r="C5" s="28" t="s">
        <v>134</v>
      </c>
      <c r="D5" s="28" t="s">
        <v>135</v>
      </c>
      <c r="E5" s="29">
        <v>408.44276</v>
      </c>
      <c r="F5" s="30">
        <v>450.4575</v>
      </c>
      <c r="G5" s="32">
        <f aca="true" t="shared" si="0" ref="G5:G26">E5*F5</f>
        <v>183986.1045627</v>
      </c>
    </row>
    <row r="6" spans="2:7" ht="12">
      <c r="B6" s="27">
        <v>2</v>
      </c>
      <c r="C6" s="7" t="s">
        <v>136</v>
      </c>
      <c r="D6" s="7" t="s">
        <v>135</v>
      </c>
      <c r="E6" s="12">
        <v>46.207</v>
      </c>
      <c r="F6" s="31">
        <v>0.01</v>
      </c>
      <c r="G6" s="33">
        <f t="shared" si="0"/>
        <v>0.46207000000000004</v>
      </c>
    </row>
    <row r="7" spans="2:7" ht="12">
      <c r="B7" s="27">
        <v>3</v>
      </c>
      <c r="C7" s="7" t="s">
        <v>137</v>
      </c>
      <c r="D7" s="7" t="s">
        <v>135</v>
      </c>
      <c r="E7" s="12">
        <v>131.024</v>
      </c>
      <c r="F7" s="31">
        <v>0.01</v>
      </c>
      <c r="G7" s="33">
        <f t="shared" si="0"/>
        <v>1.31024</v>
      </c>
    </row>
    <row r="8" spans="2:7" ht="12">
      <c r="B8" s="27">
        <v>4</v>
      </c>
      <c r="C8" s="7" t="s">
        <v>138</v>
      </c>
      <c r="D8" s="7" t="s">
        <v>135</v>
      </c>
      <c r="E8" s="12">
        <v>6.7236</v>
      </c>
      <c r="F8" s="31">
        <v>0.01</v>
      </c>
      <c r="G8" s="33">
        <f t="shared" si="0"/>
        <v>0.067236</v>
      </c>
    </row>
    <row r="9" spans="2:7" ht="24">
      <c r="B9" s="27">
        <v>5</v>
      </c>
      <c r="C9" s="7" t="s">
        <v>139</v>
      </c>
      <c r="D9" s="7" t="s">
        <v>135</v>
      </c>
      <c r="E9" s="12">
        <v>5.2</v>
      </c>
      <c r="F9" s="31">
        <v>488.97</v>
      </c>
      <c r="G9" s="33">
        <f t="shared" si="0"/>
        <v>2542.6440000000002</v>
      </c>
    </row>
    <row r="10" spans="2:7" ht="12">
      <c r="B10" s="27">
        <v>6</v>
      </c>
      <c r="C10" s="7" t="s">
        <v>140</v>
      </c>
      <c r="D10" s="7" t="s">
        <v>135</v>
      </c>
      <c r="E10" s="12">
        <v>253.212</v>
      </c>
      <c r="F10" s="14">
        <v>602.712135</v>
      </c>
      <c r="G10" s="33">
        <f t="shared" si="0"/>
        <v>152613.94512761998</v>
      </c>
    </row>
    <row r="11" spans="2:7" ht="12">
      <c r="B11" s="27">
        <v>7</v>
      </c>
      <c r="C11" s="7" t="s">
        <v>141</v>
      </c>
      <c r="D11" s="7" t="s">
        <v>135</v>
      </c>
      <c r="E11" s="12">
        <v>308.1</v>
      </c>
      <c r="F11" s="31">
        <v>0.01</v>
      </c>
      <c r="G11" s="33">
        <f t="shared" si="0"/>
        <v>3.0810000000000004</v>
      </c>
    </row>
    <row r="12" spans="2:7" ht="12">
      <c r="B12" s="27">
        <v>8</v>
      </c>
      <c r="C12" s="7" t="s">
        <v>142</v>
      </c>
      <c r="D12" s="7" t="s">
        <v>135</v>
      </c>
      <c r="E12" s="12">
        <v>77.42</v>
      </c>
      <c r="F12" s="31">
        <v>0.01</v>
      </c>
      <c r="G12" s="33">
        <f t="shared" si="0"/>
        <v>0.7742</v>
      </c>
    </row>
    <row r="13" spans="2:7" ht="24">
      <c r="B13" s="27">
        <v>9</v>
      </c>
      <c r="C13" s="7" t="s">
        <v>143</v>
      </c>
      <c r="D13" s="7" t="s">
        <v>135</v>
      </c>
      <c r="E13" s="12">
        <v>943.54297999</v>
      </c>
      <c r="F13" s="31">
        <v>488.97</v>
      </c>
      <c r="G13" s="33">
        <f t="shared" si="0"/>
        <v>461364.21092571033</v>
      </c>
    </row>
    <row r="14" spans="2:7" ht="24">
      <c r="B14" s="27">
        <v>10</v>
      </c>
      <c r="C14" s="7" t="s">
        <v>144</v>
      </c>
      <c r="D14" s="7" t="s">
        <v>135</v>
      </c>
      <c r="E14" s="12">
        <v>68.96</v>
      </c>
      <c r="F14" s="31">
        <v>0.01</v>
      </c>
      <c r="G14" s="33">
        <f t="shared" si="0"/>
        <v>0.6896</v>
      </c>
    </row>
    <row r="15" spans="2:7" ht="24">
      <c r="B15" s="27">
        <v>11</v>
      </c>
      <c r="C15" s="7" t="s">
        <v>145</v>
      </c>
      <c r="D15" s="7" t="s">
        <v>135</v>
      </c>
      <c r="E15" s="12">
        <v>198.816</v>
      </c>
      <c r="F15" s="31">
        <v>0.01</v>
      </c>
      <c r="G15" s="33">
        <f t="shared" si="0"/>
        <v>1.9881600000000001</v>
      </c>
    </row>
    <row r="16" spans="2:7" ht="12">
      <c r="B16" s="27">
        <v>12</v>
      </c>
      <c r="C16" s="7" t="s">
        <v>146</v>
      </c>
      <c r="D16" s="7" t="s">
        <v>135</v>
      </c>
      <c r="E16" s="12">
        <v>224.816</v>
      </c>
      <c r="F16" s="31">
        <v>534.48</v>
      </c>
      <c r="G16" s="33">
        <f t="shared" si="0"/>
        <v>120159.65568000001</v>
      </c>
    </row>
    <row r="17" spans="2:7" ht="12">
      <c r="B17" s="27">
        <v>13</v>
      </c>
      <c r="C17" s="7" t="s">
        <v>147</v>
      </c>
      <c r="D17" s="7" t="s">
        <v>135</v>
      </c>
      <c r="E17" s="12">
        <v>282.68</v>
      </c>
      <c r="F17" s="31">
        <v>534.48</v>
      </c>
      <c r="G17" s="33">
        <f t="shared" si="0"/>
        <v>151086.8064</v>
      </c>
    </row>
    <row r="18" spans="2:7" ht="12">
      <c r="B18" s="27">
        <v>14</v>
      </c>
      <c r="C18" s="7" t="s">
        <v>148</v>
      </c>
      <c r="D18" s="7" t="s">
        <v>135</v>
      </c>
      <c r="E18" s="12">
        <v>905.36166641</v>
      </c>
      <c r="F18" s="31">
        <v>0.01</v>
      </c>
      <c r="G18" s="33">
        <f t="shared" si="0"/>
        <v>9.0536166641</v>
      </c>
    </row>
    <row r="19" spans="2:7" ht="12">
      <c r="B19" s="27">
        <v>15</v>
      </c>
      <c r="C19" s="7" t="s">
        <v>149</v>
      </c>
      <c r="D19" s="7" t="s">
        <v>135</v>
      </c>
      <c r="E19" s="12">
        <v>1328.767</v>
      </c>
      <c r="F19" s="31">
        <v>602.99</v>
      </c>
      <c r="G19" s="33">
        <f t="shared" si="0"/>
        <v>801233.21333</v>
      </c>
    </row>
    <row r="20" spans="2:7" ht="12">
      <c r="B20" s="27">
        <v>16</v>
      </c>
      <c r="C20" s="7" t="s">
        <v>150</v>
      </c>
      <c r="D20" s="7" t="s">
        <v>135</v>
      </c>
      <c r="E20" s="12">
        <v>195.83866641</v>
      </c>
      <c r="F20" s="31">
        <v>0.01</v>
      </c>
      <c r="G20" s="33">
        <f t="shared" si="0"/>
        <v>1.9583866641</v>
      </c>
    </row>
    <row r="21" spans="2:7" ht="12">
      <c r="B21" s="27">
        <v>17</v>
      </c>
      <c r="C21" s="7" t="s">
        <v>151</v>
      </c>
      <c r="D21" s="7" t="s">
        <v>135</v>
      </c>
      <c r="E21" s="12">
        <v>195.83866641</v>
      </c>
      <c r="F21" s="31">
        <v>0.01</v>
      </c>
      <c r="G21" s="33">
        <f t="shared" si="0"/>
        <v>1.9583866641</v>
      </c>
    </row>
    <row r="22" spans="2:7" ht="12">
      <c r="B22" s="27">
        <v>18</v>
      </c>
      <c r="C22" s="7" t="s">
        <v>152</v>
      </c>
      <c r="D22" s="7" t="s">
        <v>135</v>
      </c>
      <c r="E22" s="12">
        <v>3.10666667</v>
      </c>
      <c r="F22" s="31">
        <v>0.01</v>
      </c>
      <c r="G22" s="33">
        <f t="shared" si="0"/>
        <v>0.031066666700000002</v>
      </c>
    </row>
    <row r="23" spans="2:7" ht="12">
      <c r="B23" s="27">
        <v>19</v>
      </c>
      <c r="C23" s="7" t="s">
        <v>153</v>
      </c>
      <c r="D23" s="7" t="s">
        <v>135</v>
      </c>
      <c r="E23" s="12">
        <v>224.12</v>
      </c>
      <c r="F23" s="31">
        <v>0.01</v>
      </c>
      <c r="G23" s="33">
        <f t="shared" si="0"/>
        <v>2.2412</v>
      </c>
    </row>
    <row r="24" spans="2:7" ht="24">
      <c r="B24" s="27">
        <v>20</v>
      </c>
      <c r="C24" s="7" t="s">
        <v>154</v>
      </c>
      <c r="D24" s="7" t="s">
        <v>155</v>
      </c>
      <c r="E24" s="12">
        <v>198.816</v>
      </c>
      <c r="F24" s="31">
        <v>0.01</v>
      </c>
      <c r="G24" s="33">
        <f t="shared" si="0"/>
        <v>1.9881600000000001</v>
      </c>
    </row>
    <row r="25" spans="2:7" ht="24">
      <c r="B25" s="27">
        <v>21</v>
      </c>
      <c r="C25" s="7" t="s">
        <v>156</v>
      </c>
      <c r="D25" s="7" t="s">
        <v>135</v>
      </c>
      <c r="E25" s="12">
        <v>1069.6</v>
      </c>
      <c r="F25" s="31">
        <v>0.01</v>
      </c>
      <c r="G25" s="33">
        <f t="shared" si="0"/>
        <v>10.696</v>
      </c>
    </row>
    <row r="26" spans="2:7" ht="24">
      <c r="B26" s="27">
        <v>22</v>
      </c>
      <c r="C26" s="7" t="s">
        <v>157</v>
      </c>
      <c r="D26" s="7" t="s">
        <v>135</v>
      </c>
      <c r="E26" s="12">
        <v>209.2826666</v>
      </c>
      <c r="F26" s="31">
        <v>0.01</v>
      </c>
      <c r="G26" s="33">
        <f t="shared" si="0"/>
        <v>2.092826666</v>
      </c>
    </row>
    <row r="27" spans="2:7" ht="12">
      <c r="B27" s="51" t="s">
        <v>158</v>
      </c>
      <c r="C27" s="52"/>
      <c r="D27" s="52"/>
      <c r="E27" s="52"/>
      <c r="F27" s="53"/>
      <c r="G27" s="34">
        <f>SUM(G5:G26)</f>
        <v>1873024.9721753553</v>
      </c>
    </row>
    <row r="28" spans="2:7" ht="16.5">
      <c r="B28" s="54" t="s">
        <v>159</v>
      </c>
      <c r="C28" s="54"/>
      <c r="D28" s="54"/>
      <c r="E28" s="54"/>
      <c r="F28" s="54"/>
      <c r="G28" s="54"/>
    </row>
    <row r="29" spans="2:7" ht="12">
      <c r="B29" s="26">
        <v>23</v>
      </c>
      <c r="C29" s="28" t="s">
        <v>160</v>
      </c>
      <c r="D29" s="28" t="s">
        <v>161</v>
      </c>
      <c r="E29" s="29">
        <v>0.0632</v>
      </c>
      <c r="F29" s="30">
        <v>82691.28167999999</v>
      </c>
      <c r="G29" s="32">
        <f aca="true" t="shared" si="1" ref="G29:G54">E29*F29</f>
        <v>5226.089002176</v>
      </c>
    </row>
    <row r="30" spans="2:7" ht="24">
      <c r="B30" s="27">
        <v>24</v>
      </c>
      <c r="C30" s="7" t="s">
        <v>162</v>
      </c>
      <c r="D30" s="7" t="s">
        <v>161</v>
      </c>
      <c r="E30" s="12">
        <v>0.0764</v>
      </c>
      <c r="F30" s="14">
        <v>160470.22908</v>
      </c>
      <c r="G30" s="33">
        <f t="shared" si="1"/>
        <v>12259.925501711998</v>
      </c>
    </row>
    <row r="31" spans="2:7" ht="12">
      <c r="B31" s="27">
        <v>25</v>
      </c>
      <c r="C31" s="7" t="s">
        <v>163</v>
      </c>
      <c r="D31" s="7" t="s">
        <v>164</v>
      </c>
      <c r="E31" s="12">
        <v>16.905</v>
      </c>
      <c r="F31" s="14">
        <v>37.65636</v>
      </c>
      <c r="G31" s="33">
        <f t="shared" si="1"/>
        <v>636.5807658</v>
      </c>
    </row>
    <row r="32" spans="2:7" ht="12">
      <c r="B32" s="27">
        <v>26</v>
      </c>
      <c r="C32" s="7" t="s">
        <v>165</v>
      </c>
      <c r="D32" s="7" t="s">
        <v>166</v>
      </c>
      <c r="E32" s="12">
        <v>293.444</v>
      </c>
      <c r="F32" s="14">
        <v>0</v>
      </c>
      <c r="G32" s="33">
        <f t="shared" si="1"/>
        <v>0</v>
      </c>
    </row>
    <row r="33" spans="2:7" ht="12">
      <c r="B33" s="27">
        <v>27</v>
      </c>
      <c r="C33" s="7" t="s">
        <v>167</v>
      </c>
      <c r="D33" s="7" t="s">
        <v>168</v>
      </c>
      <c r="E33" s="12">
        <v>167.7452</v>
      </c>
      <c r="F33" s="14">
        <v>383.78927999999996</v>
      </c>
      <c r="G33" s="33">
        <f t="shared" si="1"/>
        <v>64378.809531456</v>
      </c>
    </row>
    <row r="34" spans="2:7" ht="12">
      <c r="B34" s="27">
        <v>28</v>
      </c>
      <c r="C34" s="7" t="s">
        <v>169</v>
      </c>
      <c r="D34" s="7" t="s">
        <v>164</v>
      </c>
      <c r="E34" s="12">
        <v>17.738</v>
      </c>
      <c r="F34" s="14">
        <v>89.87831999999999</v>
      </c>
      <c r="G34" s="33">
        <f t="shared" si="1"/>
        <v>1594.2616401599998</v>
      </c>
    </row>
    <row r="35" spans="2:7" ht="12">
      <c r="B35" s="27">
        <v>29</v>
      </c>
      <c r="C35" s="7" t="s">
        <v>170</v>
      </c>
      <c r="D35" s="7" t="s">
        <v>164</v>
      </c>
      <c r="E35" s="12">
        <v>0.30625</v>
      </c>
      <c r="F35" s="14">
        <v>199.92</v>
      </c>
      <c r="G35" s="33">
        <f t="shared" si="1"/>
        <v>61.225500000000004</v>
      </c>
    </row>
    <row r="36" spans="2:7" ht="12">
      <c r="B36" s="27">
        <v>30</v>
      </c>
      <c r="C36" s="7" t="s">
        <v>171</v>
      </c>
      <c r="D36" s="7" t="s">
        <v>164</v>
      </c>
      <c r="E36" s="12">
        <v>1.0192</v>
      </c>
      <c r="F36" s="14">
        <v>1375.1068799999998</v>
      </c>
      <c r="G36" s="33">
        <f t="shared" si="1"/>
        <v>1401.5089320959999</v>
      </c>
    </row>
    <row r="37" spans="2:7" ht="12">
      <c r="B37" s="27">
        <v>31</v>
      </c>
      <c r="C37" s="7" t="s">
        <v>172</v>
      </c>
      <c r="D37" s="7" t="s">
        <v>161</v>
      </c>
      <c r="E37" s="12">
        <v>0.00382</v>
      </c>
      <c r="F37" s="14">
        <v>75993.91884</v>
      </c>
      <c r="G37" s="33">
        <f t="shared" si="1"/>
        <v>290.2967699688</v>
      </c>
    </row>
    <row r="38" spans="2:7" ht="24">
      <c r="B38" s="27">
        <v>32</v>
      </c>
      <c r="C38" s="7" t="s">
        <v>173</v>
      </c>
      <c r="D38" s="7" t="s">
        <v>164</v>
      </c>
      <c r="E38" s="12">
        <v>30.56</v>
      </c>
      <c r="F38" s="14">
        <v>162.46355999999997</v>
      </c>
      <c r="G38" s="33">
        <f t="shared" si="1"/>
        <v>4964.886393599999</v>
      </c>
    </row>
    <row r="39" spans="2:7" ht="12">
      <c r="B39" s="27">
        <v>33</v>
      </c>
      <c r="C39" s="7" t="s">
        <v>174</v>
      </c>
      <c r="D39" s="7" t="s">
        <v>164</v>
      </c>
      <c r="E39" s="12">
        <v>764</v>
      </c>
      <c r="F39" s="14">
        <v>118.83815999999999</v>
      </c>
      <c r="G39" s="33">
        <f t="shared" si="1"/>
        <v>90792.35423999999</v>
      </c>
    </row>
    <row r="40" spans="2:7" ht="12">
      <c r="B40" s="27">
        <v>34</v>
      </c>
      <c r="C40" s="7" t="s">
        <v>175</v>
      </c>
      <c r="D40" s="7" t="s">
        <v>164</v>
      </c>
      <c r="E40" s="12">
        <v>0.1225</v>
      </c>
      <c r="F40" s="14">
        <v>128.96268</v>
      </c>
      <c r="G40" s="33">
        <f t="shared" si="1"/>
        <v>15.7979283</v>
      </c>
    </row>
    <row r="41" spans="2:7" ht="12">
      <c r="B41" s="27">
        <v>35</v>
      </c>
      <c r="C41" s="7" t="s">
        <v>176</v>
      </c>
      <c r="D41" s="7" t="s">
        <v>161</v>
      </c>
      <c r="E41" s="12">
        <v>0</v>
      </c>
      <c r="F41" s="14">
        <v>93218.6262</v>
      </c>
      <c r="G41" s="33">
        <f t="shared" si="1"/>
        <v>0</v>
      </c>
    </row>
    <row r="42" spans="2:7" ht="12">
      <c r="B42" s="27">
        <v>36</v>
      </c>
      <c r="C42" s="7" t="s">
        <v>177</v>
      </c>
      <c r="D42" s="7" t="s">
        <v>178</v>
      </c>
      <c r="E42" s="12">
        <v>0.6834152</v>
      </c>
      <c r="F42" s="14">
        <v>5486.033280000001</v>
      </c>
      <c r="G42" s="33">
        <f t="shared" si="1"/>
        <v>3749.2385312578563</v>
      </c>
    </row>
    <row r="43" spans="2:7" ht="12">
      <c r="B43" s="27">
        <v>37</v>
      </c>
      <c r="C43" s="7" t="s">
        <v>179</v>
      </c>
      <c r="D43" s="7" t="s">
        <v>164</v>
      </c>
      <c r="E43" s="12">
        <v>67.62</v>
      </c>
      <c r="F43" s="14">
        <v>474.3958799999999</v>
      </c>
      <c r="G43" s="33">
        <f t="shared" si="1"/>
        <v>32078.649405599997</v>
      </c>
    </row>
    <row r="44" spans="2:7" ht="12">
      <c r="B44" s="27">
        <v>38</v>
      </c>
      <c r="C44" s="7" t="s">
        <v>180</v>
      </c>
      <c r="D44" s="7" t="s">
        <v>164</v>
      </c>
      <c r="E44" s="12">
        <v>0.2016</v>
      </c>
      <c r="F44" s="14">
        <v>88.29323999999998</v>
      </c>
      <c r="G44" s="33">
        <f t="shared" si="1"/>
        <v>17.799917183999998</v>
      </c>
    </row>
    <row r="45" spans="2:7" ht="12">
      <c r="B45" s="27">
        <v>39</v>
      </c>
      <c r="C45" s="7" t="s">
        <v>181</v>
      </c>
      <c r="D45" s="7" t="s">
        <v>182</v>
      </c>
      <c r="E45" s="12">
        <v>2.25</v>
      </c>
      <c r="F45" s="14">
        <v>12.966239999999999</v>
      </c>
      <c r="G45" s="33">
        <f t="shared" si="1"/>
        <v>29.174039999999998</v>
      </c>
    </row>
    <row r="46" spans="2:7" ht="12">
      <c r="B46" s="27">
        <v>40</v>
      </c>
      <c r="C46" s="7" t="s">
        <v>183</v>
      </c>
      <c r="D46" s="7" t="s">
        <v>164</v>
      </c>
      <c r="E46" s="12">
        <v>0</v>
      </c>
      <c r="F46" s="14">
        <v>358.81356</v>
      </c>
      <c r="G46" s="33">
        <f t="shared" si="1"/>
        <v>0</v>
      </c>
    </row>
    <row r="47" spans="2:7" ht="12">
      <c r="B47" s="27">
        <v>41</v>
      </c>
      <c r="C47" s="7" t="s">
        <v>184</v>
      </c>
      <c r="D47" s="7" t="s">
        <v>161</v>
      </c>
      <c r="E47" s="12">
        <v>0.001528</v>
      </c>
      <c r="F47" s="14">
        <v>57709.664039999996</v>
      </c>
      <c r="G47" s="33">
        <f t="shared" si="1"/>
        <v>88.18036665312</v>
      </c>
    </row>
    <row r="48" spans="2:7" ht="12">
      <c r="B48" s="27">
        <v>42</v>
      </c>
      <c r="C48" s="7" t="s">
        <v>185</v>
      </c>
      <c r="D48" s="7" t="s">
        <v>164</v>
      </c>
      <c r="E48" s="12">
        <v>1.528</v>
      </c>
      <c r="F48" s="14">
        <v>158.33663999999996</v>
      </c>
      <c r="G48" s="33">
        <f t="shared" si="1"/>
        <v>241.93838591999994</v>
      </c>
    </row>
    <row r="49" spans="2:7" ht="12">
      <c r="B49" s="27">
        <v>43</v>
      </c>
      <c r="C49" s="7" t="s">
        <v>186</v>
      </c>
      <c r="D49" s="7" t="s">
        <v>166</v>
      </c>
      <c r="E49" s="12">
        <v>0</v>
      </c>
      <c r="F49" s="14">
        <v>1846.9180799999997</v>
      </c>
      <c r="G49" s="33">
        <f t="shared" si="1"/>
        <v>0</v>
      </c>
    </row>
    <row r="50" spans="2:7" ht="24">
      <c r="B50" s="27">
        <v>44</v>
      </c>
      <c r="C50" s="7" t="s">
        <v>187</v>
      </c>
      <c r="D50" s="7" t="s">
        <v>161</v>
      </c>
      <c r="E50" s="12">
        <v>0.0055168</v>
      </c>
      <c r="F50" s="14">
        <v>71422.57667999998</v>
      </c>
      <c r="G50" s="33">
        <f t="shared" si="1"/>
        <v>394.0240710282239</v>
      </c>
    </row>
    <row r="51" spans="2:7" ht="24">
      <c r="B51" s="27">
        <v>45</v>
      </c>
      <c r="C51" s="7" t="s">
        <v>188</v>
      </c>
      <c r="D51" s="7" t="s">
        <v>178</v>
      </c>
      <c r="E51" s="12">
        <v>0</v>
      </c>
      <c r="F51" s="14">
        <v>89182.82688</v>
      </c>
      <c r="G51" s="33">
        <f t="shared" si="1"/>
        <v>0</v>
      </c>
    </row>
    <row r="52" spans="2:7" ht="12">
      <c r="B52" s="27">
        <v>46</v>
      </c>
      <c r="C52" s="7" t="s">
        <v>189</v>
      </c>
      <c r="D52" s="7" t="s">
        <v>164</v>
      </c>
      <c r="E52" s="12">
        <v>30.56</v>
      </c>
      <c r="F52" s="14">
        <v>220.79735999999997</v>
      </c>
      <c r="G52" s="33">
        <f t="shared" si="1"/>
        <v>6747.567321599999</v>
      </c>
    </row>
    <row r="53" spans="2:7" ht="12">
      <c r="B53" s="27">
        <v>47</v>
      </c>
      <c r="C53" s="7" t="s">
        <v>190</v>
      </c>
      <c r="D53" s="7" t="s">
        <v>191</v>
      </c>
      <c r="E53" s="12">
        <v>20.91422</v>
      </c>
      <c r="F53" s="14">
        <v>632.3897999999999</v>
      </c>
      <c r="G53" s="33">
        <f t="shared" si="1"/>
        <v>13225.939402955999</v>
      </c>
    </row>
    <row r="54" spans="2:7" ht="12">
      <c r="B54" s="27">
        <v>48</v>
      </c>
      <c r="C54" s="7" t="s">
        <v>192</v>
      </c>
      <c r="D54" s="7" t="s">
        <v>164</v>
      </c>
      <c r="E54" s="12">
        <v>14.1368</v>
      </c>
      <c r="F54" s="14">
        <v>113.69735999999999</v>
      </c>
      <c r="G54" s="33">
        <f t="shared" si="1"/>
        <v>1607.3168388479999</v>
      </c>
    </row>
    <row r="55" spans="2:7" ht="12">
      <c r="B55" s="51" t="s">
        <v>158</v>
      </c>
      <c r="C55" s="52"/>
      <c r="D55" s="52"/>
      <c r="E55" s="52"/>
      <c r="F55" s="53"/>
      <c r="G55" s="34">
        <f>SUM(G29:G54)</f>
        <v>239801.56448631597</v>
      </c>
    </row>
    <row r="56" spans="2:7" ht="16.5">
      <c r="B56" s="54" t="s">
        <v>193</v>
      </c>
      <c r="C56" s="54"/>
      <c r="D56" s="54"/>
      <c r="E56" s="54"/>
      <c r="F56" s="54"/>
      <c r="G56" s="54"/>
    </row>
    <row r="57" spans="2:7" ht="12">
      <c r="B57" s="26">
        <v>49</v>
      </c>
      <c r="C57" s="28" t="s">
        <v>194</v>
      </c>
      <c r="D57" s="28" t="s">
        <v>182</v>
      </c>
      <c r="E57" s="29">
        <v>0.38491499</v>
      </c>
      <c r="F57" s="30">
        <v>175.644</v>
      </c>
      <c r="G57" s="32">
        <f aca="true" t="shared" si="2" ref="G57:G68">E57*F57</f>
        <v>67.60800850356</v>
      </c>
    </row>
    <row r="58" spans="2:7" ht="12">
      <c r="B58" s="27">
        <v>50</v>
      </c>
      <c r="C58" s="7" t="s">
        <v>195</v>
      </c>
      <c r="D58" s="7" t="s">
        <v>182</v>
      </c>
      <c r="E58" s="12">
        <v>1.45510747</v>
      </c>
      <c r="F58" s="14">
        <v>117.09599999999999</v>
      </c>
      <c r="G58" s="33">
        <f t="shared" si="2"/>
        <v>170.38726430711998</v>
      </c>
    </row>
    <row r="59" spans="2:7" ht="12">
      <c r="B59" s="27">
        <v>51</v>
      </c>
      <c r="C59" s="7" t="s">
        <v>196</v>
      </c>
      <c r="D59" s="7" t="s">
        <v>182</v>
      </c>
      <c r="E59" s="12">
        <v>0.0316</v>
      </c>
      <c r="F59" s="14">
        <v>140.5152</v>
      </c>
      <c r="G59" s="33">
        <f t="shared" si="2"/>
        <v>4.44028032</v>
      </c>
    </row>
    <row r="60" spans="2:7" ht="12">
      <c r="B60" s="27">
        <v>52</v>
      </c>
      <c r="C60" s="7" t="s">
        <v>197</v>
      </c>
      <c r="D60" s="7" t="s">
        <v>182</v>
      </c>
      <c r="E60" s="12">
        <v>0.0109</v>
      </c>
      <c r="F60" s="14">
        <v>233.02104</v>
      </c>
      <c r="G60" s="33">
        <f t="shared" si="2"/>
        <v>2.539929336</v>
      </c>
    </row>
    <row r="61" spans="2:7" ht="12">
      <c r="B61" s="27">
        <v>53</v>
      </c>
      <c r="C61" s="7" t="s">
        <v>198</v>
      </c>
      <c r="D61" s="7" t="s">
        <v>182</v>
      </c>
      <c r="E61" s="12">
        <v>0.0395</v>
      </c>
      <c r="F61" s="14">
        <v>222.4824</v>
      </c>
      <c r="G61" s="33">
        <f t="shared" si="2"/>
        <v>8.788054800000001</v>
      </c>
    </row>
    <row r="62" spans="2:7" ht="12">
      <c r="B62" s="27">
        <v>54</v>
      </c>
      <c r="C62" s="7" t="s">
        <v>199</v>
      </c>
      <c r="D62" s="7" t="s">
        <v>182</v>
      </c>
      <c r="E62" s="12">
        <v>1.526</v>
      </c>
      <c r="F62" s="14">
        <v>129.97655999999998</v>
      </c>
      <c r="G62" s="33">
        <f t="shared" si="2"/>
        <v>198.34423055999997</v>
      </c>
    </row>
    <row r="63" spans="2:7" ht="12">
      <c r="B63" s="27">
        <v>55</v>
      </c>
      <c r="C63" s="7" t="s">
        <v>200</v>
      </c>
      <c r="D63" s="7" t="s">
        <v>182</v>
      </c>
      <c r="E63" s="12">
        <v>0.0425</v>
      </c>
      <c r="F63" s="14">
        <v>186.18264</v>
      </c>
      <c r="G63" s="33">
        <f t="shared" si="2"/>
        <v>7.9127622</v>
      </c>
    </row>
    <row r="64" spans="2:7" ht="12">
      <c r="B64" s="27">
        <v>56</v>
      </c>
      <c r="C64" s="7" t="s">
        <v>201</v>
      </c>
      <c r="D64" s="7" t="s">
        <v>182</v>
      </c>
      <c r="E64" s="12">
        <v>0.06062948</v>
      </c>
      <c r="F64" s="14">
        <v>115.92504</v>
      </c>
      <c r="G64" s="33">
        <f t="shared" si="2"/>
        <v>7.028474894179199</v>
      </c>
    </row>
    <row r="65" spans="2:7" ht="12">
      <c r="B65" s="27">
        <v>57</v>
      </c>
      <c r="C65" s="7" t="s">
        <v>202</v>
      </c>
      <c r="D65" s="7" t="s">
        <v>182</v>
      </c>
      <c r="E65" s="12">
        <v>0.0079</v>
      </c>
      <c r="F65" s="14">
        <v>2867.68104</v>
      </c>
      <c r="G65" s="33">
        <f t="shared" si="2"/>
        <v>22.654680216000003</v>
      </c>
    </row>
    <row r="66" spans="2:7" ht="12">
      <c r="B66" s="27">
        <v>58</v>
      </c>
      <c r="C66" s="7" t="s">
        <v>203</v>
      </c>
      <c r="D66" s="7" t="s">
        <v>182</v>
      </c>
      <c r="E66" s="12">
        <v>0.25872</v>
      </c>
      <c r="F66" s="14">
        <v>92.50583999999999</v>
      </c>
      <c r="G66" s="33">
        <f t="shared" si="2"/>
        <v>23.933110924799998</v>
      </c>
    </row>
    <row r="67" spans="2:7" ht="12">
      <c r="B67" s="27">
        <v>59</v>
      </c>
      <c r="C67" s="7" t="s">
        <v>204</v>
      </c>
      <c r="D67" s="7" t="s">
        <v>182</v>
      </c>
      <c r="E67" s="12">
        <v>0.26231596</v>
      </c>
      <c r="F67" s="14">
        <v>152.2248</v>
      </c>
      <c r="G67" s="33">
        <f t="shared" si="2"/>
        <v>39.930994547808</v>
      </c>
    </row>
    <row r="68" spans="2:7" ht="12">
      <c r="B68" s="27">
        <v>60</v>
      </c>
      <c r="C68" s="7" t="s">
        <v>205</v>
      </c>
      <c r="D68" s="7" t="s">
        <v>182</v>
      </c>
      <c r="E68" s="12">
        <v>0.00135354</v>
      </c>
      <c r="F68" s="14">
        <v>384.07487999999995</v>
      </c>
      <c r="G68" s="33">
        <f t="shared" si="2"/>
        <v>0.5198607130752</v>
      </c>
    </row>
    <row r="69" spans="2:7" ht="12">
      <c r="B69" s="51" t="s">
        <v>158</v>
      </c>
      <c r="C69" s="52"/>
      <c r="D69" s="52"/>
      <c r="E69" s="52"/>
      <c r="F69" s="53"/>
      <c r="G69" s="34">
        <f>SUM(G57:G68)</f>
        <v>554.0876513225423</v>
      </c>
    </row>
    <row r="70" spans="2:7" ht="16.5">
      <c r="B70" s="54" t="s">
        <v>206</v>
      </c>
      <c r="C70" s="54"/>
      <c r="D70" s="54"/>
      <c r="E70" s="54"/>
      <c r="F70" s="54"/>
      <c r="G70" s="54"/>
    </row>
    <row r="71" spans="2:7" ht="12">
      <c r="B71" s="26">
        <v>61</v>
      </c>
      <c r="C71" s="28" t="s">
        <v>207</v>
      </c>
      <c r="D71" s="28" t="s">
        <v>208</v>
      </c>
      <c r="E71" s="29">
        <v>59.25</v>
      </c>
      <c r="F71" s="30">
        <v>93.85969999999999</v>
      </c>
      <c r="G71" s="32">
        <f>E71*F71</f>
        <v>5561.187225</v>
      </c>
    </row>
    <row r="72" spans="2:7" ht="24">
      <c r="B72" s="27">
        <v>62</v>
      </c>
      <c r="C72" s="7" t="s">
        <v>209</v>
      </c>
      <c r="D72" s="7" t="s">
        <v>208</v>
      </c>
      <c r="E72" s="12">
        <v>114.6</v>
      </c>
      <c r="F72" s="14">
        <v>112.5421</v>
      </c>
      <c r="G72" s="33">
        <f>E72*F72</f>
        <v>12897.32466</v>
      </c>
    </row>
    <row r="73" spans="2:7" ht="12">
      <c r="B73" s="51" t="s">
        <v>158</v>
      </c>
      <c r="C73" s="52"/>
      <c r="D73" s="52"/>
      <c r="E73" s="52"/>
      <c r="F73" s="53"/>
      <c r="G73" s="34">
        <f>SUM(G71:G72)</f>
        <v>18458.511885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69:F69"/>
    <mergeCell ref="B70:G70"/>
    <mergeCell ref="B73:F73"/>
    <mergeCell ref="B1:G1"/>
    <mergeCell ref="B4:G4"/>
    <mergeCell ref="B27:F27"/>
    <mergeCell ref="B28:G28"/>
    <mergeCell ref="B55:F55"/>
    <mergeCell ref="B56:G56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Олеся</cp:lastModifiedBy>
  <cp:lastPrinted>2019-01-24T09:51:48Z</cp:lastPrinted>
  <dcterms:created xsi:type="dcterms:W3CDTF">2019-01-24T12:09:25Z</dcterms:created>
  <dcterms:modified xsi:type="dcterms:W3CDTF">2019-01-24T09:58:17Z</dcterms:modified>
  <cp:category>ÑÐ¼ÐµÑ‚Ð°</cp:category>
  <cp:version/>
  <cp:contentType/>
  <cp:contentStatus/>
</cp:coreProperties>
</file>